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<sst xmlns="http://schemas.openxmlformats.org/spreadsheetml/2006/main" count="168" uniqueCount="131">
  <si>
    <t>工程量清单及限价</t>
  </si>
  <si>
    <t xml:space="preserve">项目名称：毕节市X502朱昌至岔河公路工程（K11~K16段）                                  </t>
  </si>
  <si>
    <t>细目编号</t>
  </si>
  <si>
    <t>工程名称</t>
  </si>
  <si>
    <t>单位</t>
  </si>
  <si>
    <t>工程数量</t>
  </si>
  <si>
    <t>单价限价（元）（不含税）</t>
  </si>
  <si>
    <t>限价总价（元）</t>
  </si>
  <si>
    <t>单价（元）</t>
  </si>
  <si>
    <t>总价（元）</t>
  </si>
  <si>
    <t>分包内容</t>
  </si>
  <si>
    <t>普工</t>
  </si>
  <si>
    <t>工日</t>
  </si>
  <si>
    <t>以实际发生为准</t>
  </si>
  <si>
    <t>挖方路基</t>
  </si>
  <si>
    <t>路基</t>
  </si>
  <si>
    <t>203-1-a</t>
  </si>
  <si>
    <t>挖土方</t>
  </si>
  <si>
    <t>m3</t>
  </si>
  <si>
    <t xml:space="preserve">包含工作内容及要求：
1、土方开挖含挖、装、运所耗用人工、机械、材料及安全费用；
2、石方开挖含开炸、挖、装、运、解小(符合要求)等的人工、机械、材料、及安全等费用；
3、挖方边坡修整达到设计要求，特别是石方不能采用大爆破、只能采用光面爆破或预裂爆破，坡面达到光面爆破效果；施工中的危险源应及时清除；
4、填方层厚按规范要求施工，边坡清理后，应平整、直顺、密实，按规范路基须超填的部分(50cm)自行挖运，不另行计价，边坡坡度应达到设计要求；
5、路槽检平应低于设计高程20cm,再用小于10cm的粒料回填压实；
6、运距1KM内为免费运距，1KM以外每增运1KM每立方增加1元，不再计其他费用；
7、设计断面内的填料修筑的场内运输施工便道不另行计价，由土石方班组自行承担；
8、借、弃土场场地及边坡等附属工程须平整、完善；
9、没有按照《安全合同》及安全技术交底规定施工造成的事故一律由施工方自行负责；
10、便道维护由土石方班组自行负责；
11、检平单价为此工序所需所有人工、材料、机械、安全等费用；
12、挖土方单价构成：挖装土3.5元/m³,运3.5元/m³,土方边坡修整0.3元/m³(如边坡造成超挖及不平整，由施工班组自行负责修补，边坡修补合格后该部分给予计价),安全设施及管理费、保畅等其它费用0.7元/m³；
13、挖石方单价构成：开炸6.5元/m³,挖装石3.6/m³,运3.5元/m³,填方解小1.0元/m³,安全奖励基金0.5元/m³,保畅费0.5元/m³,填方边坡修整0.8元/m³,石方边坡修整0.6元/m³(如边坡造成超挖及不平整，由施工班组自行负责修补，边坡修补合格后该部分给予计价)；
14、土石比例按设计图纸计算，计价时在开挖断面内先以土方设计量计价。每月计价数量按现场收方计价，总数量不能超过设计数量；
15、边坡坍方一律按土方计价；
16、土石方班组责任段落的构造物基坑开挖，土石方班组必须服从技术员安排，配合砌体班组完成(含进出便道的修筑)；
17、土石方班组责任段落的砌体片石和换填片石用量，土石方班组必须提供至现场，运距1km内为免费运距；
18、施工中材料上涨、下跌因素不考虑单价变更。
</t>
  </si>
  <si>
    <t xml:space="preserve">  -b1</t>
  </si>
  <si>
    <t>挖石方（软石、次坚石、坚石）</t>
  </si>
  <si>
    <t xml:space="preserve">  -b3</t>
  </si>
  <si>
    <t>挖次坚石（冷开）</t>
  </si>
  <si>
    <t>203-1-c-7</t>
  </si>
  <si>
    <t>挖除非适用材料（淤泥）-特殊路基处理</t>
  </si>
  <si>
    <t>230-1-d</t>
  </si>
  <si>
    <t>土石方超运(远运利用及弃运)</t>
  </si>
  <si>
    <t>m3.km</t>
  </si>
  <si>
    <r>
      <rPr>
        <sz val="10"/>
        <rFont val="宋体"/>
        <charset val="134"/>
      </rPr>
      <t>包含内容：人、材、机一切费用。包含工序：运输距离超</t>
    </r>
    <r>
      <rPr>
        <b/>
        <sz val="10"/>
        <rFont val="宋体"/>
        <charset val="134"/>
      </rPr>
      <t>1km</t>
    </r>
    <r>
      <rPr>
        <sz val="10"/>
        <rFont val="宋体"/>
        <charset val="134"/>
      </rPr>
      <t>后计，包含内容：运输的所有费用及安全费用，工程量按实际发生方量计算。</t>
    </r>
  </si>
  <si>
    <t>填方路基</t>
  </si>
  <si>
    <t>204-1-a</t>
  </si>
  <si>
    <t>利用土方(不含压实)</t>
  </si>
  <si>
    <t>包含内容：人材机一切费用（含检平整形机械，不含压路机），包含工序：开挖台阶、填料整平、边坡修整，路槽初平。松铺厚度满足相关要求。填方数量应扣除结构物（涵洞）体积。</t>
  </si>
  <si>
    <t>204-1-b</t>
  </si>
  <si>
    <t>利用石方（不含压实）</t>
  </si>
  <si>
    <t>特殊地区路基处理</t>
  </si>
  <si>
    <t>205-1-o</t>
  </si>
  <si>
    <t>片石换填</t>
  </si>
  <si>
    <t>包含工作：挖除软基、石渣回填、整平压实、场地清理等。不含石渣材料费</t>
  </si>
  <si>
    <t>205-9-h</t>
  </si>
  <si>
    <t>换填碎石（低填浅挖）</t>
  </si>
  <si>
    <t>包含内容：除材料（碎石土或石渣）外的所有工作。包含工序：基坑开挖、基地处理、回填、碾压安全文明施工场地。</t>
  </si>
  <si>
    <t>205-10-a-5</t>
  </si>
  <si>
    <t>钢塑土工格栅</t>
  </si>
  <si>
    <t>m2</t>
  </si>
  <si>
    <t>包含内容：人工费，包含工序：人工摊铺、整平、搭接、固定。</t>
  </si>
  <si>
    <t>205-11-h</t>
  </si>
  <si>
    <t>高填处理-强夯</t>
  </si>
  <si>
    <t>包含内容：人、材机、一切费用，包含工序：设备进出场、强夯机燃润费、操作手、辅助用工费用。强夯单价与现场工作量和工作要求密切相关要求。</t>
  </si>
  <si>
    <t>205-13</t>
  </si>
  <si>
    <t>桥头路基处理</t>
  </si>
  <si>
    <t>205-13-c</t>
  </si>
  <si>
    <t>回填碎石土</t>
  </si>
  <si>
    <t>除含碎石土材料外是的全部人材机费用，</t>
  </si>
  <si>
    <t>207-1</t>
  </si>
  <si>
    <t>边沟</t>
  </si>
  <si>
    <t>207-1-a-1</t>
  </si>
  <si>
    <t>M7.5浆砌片(块)石矩形边沟</t>
  </si>
  <si>
    <t>包含内容：含材料（水泥、砂）的所有工作内容。包含工序：人工清基、砂浆搅拌、片石修整、砌筑、勾缝、文明施工及场地清理。包含材料场内转运费。不包含片石材料。</t>
  </si>
  <si>
    <t>207-1-a-7</t>
  </si>
  <si>
    <t>M7.5浆砌片(块)石矩形边沟沟身-盖板边沟</t>
  </si>
  <si>
    <t>207-2</t>
  </si>
  <si>
    <t>排水沟</t>
  </si>
  <si>
    <t>207-2-a-2</t>
  </si>
  <si>
    <t>排水沟M7.5浆砌片石</t>
  </si>
  <si>
    <t>207-3</t>
  </si>
  <si>
    <t>截水沟浆砌片石</t>
  </si>
  <si>
    <t>207-3-a-1</t>
  </si>
  <si>
    <t>截水沟M7.5浆砌片石</t>
  </si>
  <si>
    <t>包含内容：人工费（砂浆搅拌机、称重设备等）小型设备费，含材料（水泥、砂）的所有工作内容。包含工序：人工清基、砂浆搅拌、片石修整、砌筑、勾缝、文明施工及场地清理。包含材料场内转运费.不包含片石材料。</t>
  </si>
  <si>
    <t>207-4-b</t>
  </si>
  <si>
    <t>浆砌片石</t>
  </si>
  <si>
    <t>b1</t>
  </si>
  <si>
    <t>拱形骨架护坡</t>
  </si>
  <si>
    <t>包含内容：含材料（水泥、砂）的所有工作内容。包含工序：人工清基、砂浆搅拌、片石修整、砌筑、勾缝、拱圈镶边石C20砼预制块安装、文明施工及场地清理。包含材料场内转运费，搭拆脚手架费用。不包含片石材料。</t>
  </si>
  <si>
    <t>b2</t>
  </si>
  <si>
    <t>衬砌拱护坡</t>
  </si>
  <si>
    <t>b3</t>
  </si>
  <si>
    <t>浆砌片石加固路肩</t>
  </si>
  <si>
    <t>包含内容：含材料（水泥、砂）的所有工作内容。包含工序：人工清基、砂浆搅拌、片石修整、砌筑、文明施工及场地清理。包含材料场内转运费。不包含片石材料。</t>
  </si>
  <si>
    <t>挡土墙</t>
  </si>
  <si>
    <t>209-3-a-1</t>
  </si>
  <si>
    <t>M7.5浆砌片石护肩墙</t>
  </si>
  <si>
    <t>包含内容：含材料（水泥、砂）的所有工作内容。包含工序：人工清基、砂浆搅拌、片石修整、砌筑、勾缝、文明施工及场地清理。包含材料场内转运费，搭拆脚手架费用。不包含片石材料。</t>
  </si>
  <si>
    <t>209-3-a-2</t>
  </si>
  <si>
    <t>M7.5浆砌片石挡土墙-取、弃土场</t>
  </si>
  <si>
    <t>209-3-a-3</t>
  </si>
  <si>
    <t>M7.5浆砌片石仰斜式路肩墙</t>
  </si>
  <si>
    <t>209-3-a-7</t>
  </si>
  <si>
    <t>M7.5浆砌片石挡土墙-改移沟渠</t>
  </si>
  <si>
    <t>209-3-a-19</t>
  </si>
  <si>
    <t>M7.5浆砌片石护脚墙</t>
  </si>
  <si>
    <t>209-3-a-22</t>
  </si>
  <si>
    <t>M7.5浆砌片石路堤墙</t>
  </si>
  <si>
    <t>209-3-a-23</t>
  </si>
  <si>
    <t>M7.5浆砌片石路堑墙</t>
  </si>
  <si>
    <t>209-5</t>
  </si>
  <si>
    <t>混凝土挡土墙</t>
  </si>
  <si>
    <t>209-5-e-1</t>
  </si>
  <si>
    <t>仰斜式路肩墙C20片石混凝土</t>
  </si>
  <si>
    <t>包含内容：除材料（砼、片石）外的所有工作内容。包含工序:人工清基、支架搭拆、模板打油及关拆、加入片石、砼浇筑、振捣、养生、场地清理。</t>
  </si>
  <si>
    <t>209-5-e-2</t>
  </si>
  <si>
    <t>路堑墙C20片石混凝土</t>
  </si>
  <si>
    <t>209-5-e-3</t>
  </si>
  <si>
    <t>挖基坑土方</t>
  </si>
  <si>
    <t>工程量以现场收方为准。包含内容：同路基挖土方。</t>
  </si>
  <si>
    <t xml:space="preserve">第400章合计  </t>
  </si>
  <si>
    <t xml:space="preserve">   -a</t>
  </si>
  <si>
    <t>C30砼盖板预制及安装</t>
  </si>
  <si>
    <t>包含内容：除材料（混凝土）外的所有内容，包含工序：模板安装及加固、砼浇筑、振捣、修饰、养生、人工配合上车、文明施工及场地清理。</t>
  </si>
  <si>
    <t xml:space="preserve">   -b</t>
  </si>
  <si>
    <t>钢筋</t>
  </si>
  <si>
    <t>kg</t>
  </si>
  <si>
    <t>包含内容：除材料（钢筋）外所涉及的所有工作内容。包含工序：原材料及（半）成品场内转运、钢筋按图加工、安装、绑扎、焊接、文明施工及场地清理。</t>
  </si>
  <si>
    <t xml:space="preserve">   -c</t>
  </si>
  <si>
    <t>C30台帽</t>
  </si>
  <si>
    <t>包含内容：除材料（砼）外的所有工作内容。包含工序:人工清基、支架搭拆、模板打油及关拆、砼浇筑、振捣、养生、场地清理。</t>
  </si>
  <si>
    <t xml:space="preserve">   -d</t>
  </si>
  <si>
    <t>C25片石砼</t>
  </si>
  <si>
    <t xml:space="preserve">   -e</t>
  </si>
  <si>
    <t>M7.5浆砌片石</t>
  </si>
  <si>
    <t xml:space="preserve">   -f</t>
  </si>
  <si>
    <t>包含内容：含人、材、机所有工作内容。</t>
  </si>
  <si>
    <t xml:space="preserve">   -g</t>
  </si>
  <si>
    <t>防水层沥青</t>
  </si>
  <si>
    <t>包含内容：除材料（防水层）外所有工作。</t>
  </si>
  <si>
    <t xml:space="preserve">   -h</t>
  </si>
  <si>
    <t>台背回填碎石土</t>
  </si>
  <si>
    <t>包含工序：除材料（碎石）外所有的工作内容。包含工序：基坑清理、回填、整平、压实、安全文明施工及场地清理。</t>
  </si>
  <si>
    <t>总价合计（元）：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</si>
</sst>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  <numFmt numFmtId="179" formatCode="0_);[Red]\(0\)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name val="仿宋"/>
      <charset val="134"/>
    </font>
    <font>
      <b/>
      <sz val="10"/>
      <name val="宋体"/>
      <charset val="134"/>
      <scheme val="maj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7" applyNumberFormat="0" applyAlignment="0" applyProtection="0">
      <alignment vertical="center"/>
    </xf>
    <xf numFmtId="0" fontId="20" fillId="4" borderId="28" applyNumberFormat="0" applyAlignment="0" applyProtection="0">
      <alignment vertical="center"/>
    </xf>
    <xf numFmtId="0" fontId="21" fillId="4" borderId="27" applyNumberFormat="0" applyAlignment="0" applyProtection="0">
      <alignment vertical="center"/>
    </xf>
    <xf numFmtId="0" fontId="22" fillId="5" borderId="29" applyNumberFormat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8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 applyProtection="1">
      <alignment horizontal="left" vertical="center" wrapText="1"/>
      <protection locked="0"/>
    </xf>
    <xf numFmtId="0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6" xfId="0" applyNumberFormat="1" applyFont="1" applyFill="1" applyBorder="1" applyAlignment="1" applyProtection="1">
      <alignment horizontal="center" vertical="center" wrapText="1"/>
    </xf>
    <xf numFmtId="177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0" applyNumberFormat="1" applyFont="1" applyFill="1" applyBorder="1" applyAlignment="1">
      <alignment horizontal="center" vertical="center" wrapText="1"/>
    </xf>
    <xf numFmtId="178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9" xfId="0" applyNumberFormat="1" applyFont="1" applyFill="1" applyBorder="1" applyAlignment="1">
      <alignment horizontal="center" vertical="center" wrapText="1"/>
    </xf>
    <xf numFmtId="179" fontId="6" fillId="0" borderId="5" xfId="5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178" fontId="7" fillId="0" borderId="6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8" fontId="7" fillId="0" borderId="6" xfId="0" applyNumberFormat="1" applyFont="1" applyFill="1" applyBorder="1" applyAlignment="1">
      <alignment horizontal="center" vertical="center"/>
    </xf>
    <xf numFmtId="0" fontId="8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9" fillId="0" borderId="9" xfId="0" applyNumberFormat="1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7" fillId="0" borderId="6" xfId="0" applyNumberFormat="1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horizontal="center" vertical="center" wrapText="1"/>
    </xf>
    <xf numFmtId="178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77" fontId="9" fillId="0" borderId="12" xfId="0" applyNumberFormat="1" applyFont="1" applyFill="1" applyBorder="1" applyAlignment="1">
      <alignment horizontal="left" vertical="center" wrapText="1"/>
    </xf>
    <xf numFmtId="177" fontId="9" fillId="0" borderId="10" xfId="0" applyNumberFormat="1" applyFont="1" applyFill="1" applyBorder="1" applyAlignment="1">
      <alignment horizontal="left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178" fontId="4" fillId="0" borderId="16" xfId="0" applyNumberFormat="1" applyFont="1" applyFill="1" applyBorder="1" applyAlignment="1">
      <alignment horizontal="center" vertical="center"/>
    </xf>
    <xf numFmtId="178" fontId="4" fillId="0" borderId="17" xfId="0" applyNumberFormat="1" applyFont="1" applyFill="1" applyBorder="1" applyAlignment="1" applyProtection="1">
      <protection locked="0"/>
    </xf>
    <xf numFmtId="178" fontId="4" fillId="0" borderId="17" xfId="0" applyNumberFormat="1" applyFont="1" applyFill="1" applyBorder="1" applyAlignment="1"/>
    <xf numFmtId="0" fontId="2" fillId="0" borderId="0" xfId="0" applyFont="1" applyAlignment="1">
      <alignment horizontal="left" vertical="center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4" fillId="0" borderId="20" xfId="0" applyNumberFormat="1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 applyProtection="1">
      <alignment horizontal="left" vertical="center" wrapText="1"/>
    </xf>
    <xf numFmtId="0" fontId="9" fillId="0" borderId="21" xfId="0" applyNumberFormat="1" applyFont="1" applyFill="1" applyBorder="1" applyAlignment="1">
      <alignment horizontal="left" vertical="center" wrapText="1"/>
    </xf>
    <xf numFmtId="178" fontId="4" fillId="0" borderId="20" xfId="0" applyNumberFormat="1" applyFont="1" applyFill="1" applyBorder="1" applyAlignment="1">
      <alignment horizontal="left" wrapText="1"/>
    </xf>
    <xf numFmtId="0" fontId="9" fillId="0" borderId="21" xfId="0" applyNumberFormat="1" applyFont="1" applyFill="1" applyBorder="1" applyAlignment="1">
      <alignment horizontal="left" vertical="center" wrapText="1"/>
    </xf>
    <xf numFmtId="0" fontId="5" fillId="0" borderId="22" xfId="0" applyNumberFormat="1" applyFont="1" applyFill="1" applyBorder="1" applyAlignment="1" applyProtection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177" fontId="9" fillId="0" borderId="21" xfId="0" applyNumberFormat="1" applyFont="1" applyFill="1" applyBorder="1" applyAlignment="1">
      <alignment horizontal="left" vertical="center" wrapText="1"/>
    </xf>
    <xf numFmtId="0" fontId="4" fillId="0" borderId="23" xfId="0" applyNumberFormat="1" applyFont="1" applyFill="1" applyBorder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 2" xfId="50"/>
  </cellStyles>
  <dxfs count="2">
    <dxf>
      <font>
        <color rgb="FFFFFFFF"/>
      </font>
    </dxf>
    <dxf>
      <font>
        <b val="0"/>
        <i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showZeros="0" tabSelected="1" workbookViewId="0">
      <selection activeCell="B13" sqref="B13:I13"/>
    </sheetView>
  </sheetViews>
  <sheetFormatPr defaultColWidth="9" defaultRowHeight="13.5"/>
  <cols>
    <col min="1" max="1" width="11.375" style="2" customWidth="1"/>
    <col min="2" max="2" width="11.625" customWidth="1"/>
    <col min="3" max="3" width="5" customWidth="1"/>
    <col min="4" max="4" width="9.25" customWidth="1"/>
    <col min="5" max="5" width="11.125" customWidth="1"/>
    <col min="6" max="6" width="14.375" customWidth="1"/>
    <col min="7" max="7" width="8.75" style="3" customWidth="1"/>
    <col min="8" max="8" width="8.75" customWidth="1"/>
    <col min="9" max="9" width="45.625" style="4" customWidth="1"/>
  </cols>
  <sheetData>
    <row r="1" ht="35" customHeight="1" spans="1:9">
      <c r="A1" s="5" t="s">
        <v>0</v>
      </c>
      <c r="B1" s="5"/>
      <c r="C1" s="5"/>
      <c r="D1" s="5"/>
      <c r="E1" s="5"/>
      <c r="F1" s="5"/>
      <c r="G1" s="6"/>
      <c r="H1" s="5"/>
      <c r="I1" s="66"/>
    </row>
    <row r="2" ht="23" customHeight="1" spans="1:9">
      <c r="A2" s="7" t="s">
        <v>1</v>
      </c>
      <c r="B2" s="8"/>
      <c r="C2" s="8"/>
      <c r="D2" s="8"/>
      <c r="E2" s="8"/>
      <c r="F2" s="8"/>
      <c r="G2" s="9"/>
      <c r="H2" s="8"/>
      <c r="I2" s="8"/>
    </row>
    <row r="3" spans="1:9">
      <c r="A3" s="10" t="s">
        <v>2</v>
      </c>
      <c r="B3" s="11" t="s">
        <v>3</v>
      </c>
      <c r="C3" s="12" t="s">
        <v>4</v>
      </c>
      <c r="D3" s="11" t="s">
        <v>5</v>
      </c>
      <c r="E3" s="13" t="s">
        <v>6</v>
      </c>
      <c r="F3" s="14" t="s">
        <v>7</v>
      </c>
      <c r="G3" s="15" t="s">
        <v>8</v>
      </c>
      <c r="H3" s="16" t="s">
        <v>9</v>
      </c>
      <c r="I3" s="67" t="s">
        <v>10</v>
      </c>
    </row>
    <row r="4" ht="23" customHeight="1" spans="1:9">
      <c r="A4" s="17"/>
      <c r="B4" s="18"/>
      <c r="C4" s="19"/>
      <c r="D4" s="18"/>
      <c r="E4" s="20"/>
      <c r="F4" s="21"/>
      <c r="G4" s="22"/>
      <c r="H4" s="23"/>
      <c r="I4" s="68"/>
    </row>
    <row r="5" spans="1:9">
      <c r="A5" s="24">
        <v>1</v>
      </c>
      <c r="B5" s="25" t="s">
        <v>11</v>
      </c>
      <c r="C5" s="26" t="s">
        <v>12</v>
      </c>
      <c r="D5" s="27">
        <v>500</v>
      </c>
      <c r="E5" s="28">
        <v>150</v>
      </c>
      <c r="F5" s="29">
        <f>ROUND(D5*E5,2)</f>
        <v>75000</v>
      </c>
      <c r="G5" s="30"/>
      <c r="H5" s="31">
        <f>D5*G5</f>
        <v>0</v>
      </c>
      <c r="I5" s="69" t="s">
        <v>13</v>
      </c>
    </row>
    <row r="6" spans="1:9">
      <c r="A6" s="32">
        <v>203</v>
      </c>
      <c r="B6" s="33" t="s">
        <v>14</v>
      </c>
      <c r="C6" s="34"/>
      <c r="D6" s="34"/>
      <c r="E6" s="34"/>
      <c r="F6" s="34"/>
      <c r="G6" s="34"/>
      <c r="H6" s="34"/>
      <c r="I6" s="70"/>
    </row>
    <row r="7" spans="1:9">
      <c r="A7" s="35">
        <v>200</v>
      </c>
      <c r="B7" s="36" t="s">
        <v>15</v>
      </c>
      <c r="C7" s="37"/>
      <c r="D7" s="38"/>
      <c r="E7" s="18"/>
      <c r="F7" s="39"/>
      <c r="G7" s="40"/>
      <c r="H7" s="31">
        <f t="shared" ref="H7:H12" si="0">D7*G7</f>
        <v>0</v>
      </c>
      <c r="I7" s="71"/>
    </row>
    <row r="8" spans="1:9">
      <c r="A8" s="35" t="s">
        <v>16</v>
      </c>
      <c r="B8" s="36" t="s">
        <v>17</v>
      </c>
      <c r="C8" s="37" t="s">
        <v>18</v>
      </c>
      <c r="D8" s="41">
        <f>41824-13230-1421</f>
        <v>27173</v>
      </c>
      <c r="E8" s="18">
        <v>8.5</v>
      </c>
      <c r="F8" s="29">
        <f>ROUND(D8*E8,2)</f>
        <v>230970.5</v>
      </c>
      <c r="G8" s="30"/>
      <c r="H8" s="31">
        <f t="shared" si="0"/>
        <v>0</v>
      </c>
      <c r="I8" s="72" t="s">
        <v>19</v>
      </c>
    </row>
    <row r="9" ht="36" spans="1:9">
      <c r="A9" s="35" t="s">
        <v>20</v>
      </c>
      <c r="B9" s="36" t="s">
        <v>21</v>
      </c>
      <c r="C9" s="37" t="s">
        <v>18</v>
      </c>
      <c r="D9" s="41">
        <f>83444-17884-6599-10299</f>
        <v>48662</v>
      </c>
      <c r="E9" s="18">
        <v>18</v>
      </c>
      <c r="F9" s="29">
        <f>ROUND(D9*E9,2)</f>
        <v>875916</v>
      </c>
      <c r="G9" s="30"/>
      <c r="H9" s="31">
        <f t="shared" si="0"/>
        <v>0</v>
      </c>
      <c r="I9" s="72"/>
    </row>
    <row r="10" ht="24" spans="1:9">
      <c r="A10" s="35" t="s">
        <v>22</v>
      </c>
      <c r="B10" s="36" t="s">
        <v>23</v>
      </c>
      <c r="C10" s="37" t="s">
        <v>18</v>
      </c>
      <c r="D10" s="41">
        <f>6599+17884</f>
        <v>24483</v>
      </c>
      <c r="E10" s="18">
        <v>29</v>
      </c>
      <c r="F10" s="29">
        <f>ROUND(D10*E10,2)</f>
        <v>710007</v>
      </c>
      <c r="G10" s="30"/>
      <c r="H10" s="31">
        <f t="shared" si="0"/>
        <v>0</v>
      </c>
      <c r="I10" s="72"/>
    </row>
    <row r="11" ht="36" spans="1:9">
      <c r="A11" s="35" t="s">
        <v>24</v>
      </c>
      <c r="B11" s="36" t="s">
        <v>25</v>
      </c>
      <c r="C11" s="37" t="s">
        <v>18</v>
      </c>
      <c r="D11" s="41">
        <v>18595.64</v>
      </c>
      <c r="E11" s="18">
        <v>8.5</v>
      </c>
      <c r="F11" s="29">
        <f>ROUND(D11*E11,2)</f>
        <v>158062.94</v>
      </c>
      <c r="G11" s="30"/>
      <c r="H11" s="31">
        <f t="shared" si="0"/>
        <v>0</v>
      </c>
      <c r="I11" s="72"/>
    </row>
    <row r="12" ht="37" customHeight="1" spans="1:9">
      <c r="A12" s="42" t="s">
        <v>26</v>
      </c>
      <c r="B12" s="25" t="s">
        <v>27</v>
      </c>
      <c r="C12" s="43" t="s">
        <v>28</v>
      </c>
      <c r="D12" s="18">
        <f>45000*3+22000*3</f>
        <v>201000</v>
      </c>
      <c r="E12" s="18">
        <v>1</v>
      </c>
      <c r="F12" s="29">
        <f>ROUND(D12*E12,2)</f>
        <v>201000</v>
      </c>
      <c r="G12" s="30"/>
      <c r="H12" s="31">
        <f t="shared" si="0"/>
        <v>0</v>
      </c>
      <c r="I12" s="73" t="s">
        <v>29</v>
      </c>
    </row>
    <row r="13" spans="1:9">
      <c r="A13" s="44">
        <v>204</v>
      </c>
      <c r="B13" s="45" t="s">
        <v>30</v>
      </c>
      <c r="C13" s="46"/>
      <c r="D13" s="46"/>
      <c r="E13" s="46"/>
      <c r="F13" s="46"/>
      <c r="G13" s="46"/>
      <c r="H13" s="46"/>
      <c r="I13" s="74"/>
    </row>
    <row r="14" ht="24" spans="1:9">
      <c r="A14" s="35" t="s">
        <v>31</v>
      </c>
      <c r="B14" s="36" t="s">
        <v>32</v>
      </c>
      <c r="C14" s="37" t="s">
        <v>18</v>
      </c>
      <c r="D14" s="41">
        <f>37132.9+26000</f>
        <v>63132.9</v>
      </c>
      <c r="E14" s="18">
        <v>1.5</v>
      </c>
      <c r="F14" s="29">
        <f>ROUND(D14*E14,2)</f>
        <v>94699.35</v>
      </c>
      <c r="G14" s="30"/>
      <c r="H14" s="31">
        <f>D14*G14</f>
        <v>0</v>
      </c>
      <c r="I14" s="73" t="s">
        <v>33</v>
      </c>
    </row>
    <row r="15" ht="24" spans="1:9">
      <c r="A15" s="35" t="s">
        <v>34</v>
      </c>
      <c r="B15" s="36" t="s">
        <v>35</v>
      </c>
      <c r="C15" s="37" t="s">
        <v>18</v>
      </c>
      <c r="D15" s="41">
        <v>60650.29</v>
      </c>
      <c r="E15" s="18">
        <v>1.5</v>
      </c>
      <c r="F15" s="29">
        <f>ROUND(D15*E15,2)</f>
        <v>90975.44</v>
      </c>
      <c r="G15" s="30"/>
      <c r="H15" s="31">
        <f>D15*G15</f>
        <v>0</v>
      </c>
      <c r="I15" s="73"/>
    </row>
    <row r="16" spans="1:9">
      <c r="A16" s="44">
        <v>205</v>
      </c>
      <c r="B16" s="45" t="s">
        <v>36</v>
      </c>
      <c r="C16" s="46"/>
      <c r="D16" s="46"/>
      <c r="E16" s="46"/>
      <c r="F16" s="46"/>
      <c r="G16" s="46"/>
      <c r="H16" s="46"/>
      <c r="I16" s="74"/>
    </row>
    <row r="17" ht="24" spans="1:9">
      <c r="A17" s="35" t="s">
        <v>37</v>
      </c>
      <c r="B17" s="36" t="s">
        <v>38</v>
      </c>
      <c r="C17" s="37" t="s">
        <v>18</v>
      </c>
      <c r="D17" s="41">
        <v>18595.64</v>
      </c>
      <c r="E17" s="18">
        <v>15</v>
      </c>
      <c r="F17" s="29">
        <f>ROUND(D17*E17,2)</f>
        <v>278934.6</v>
      </c>
      <c r="G17" s="30"/>
      <c r="H17" s="31">
        <f>D17*G17</f>
        <v>0</v>
      </c>
      <c r="I17" s="73" t="s">
        <v>39</v>
      </c>
    </row>
    <row r="18" ht="24" spans="1:9">
      <c r="A18" s="35" t="s">
        <v>40</v>
      </c>
      <c r="B18" s="47" t="s">
        <v>41</v>
      </c>
      <c r="C18" s="37" t="s">
        <v>18</v>
      </c>
      <c r="D18" s="37">
        <v>10067.04</v>
      </c>
      <c r="E18" s="18">
        <v>15</v>
      </c>
      <c r="F18" s="29">
        <f>ROUND(D18*E18,2)</f>
        <v>151005.6</v>
      </c>
      <c r="G18" s="30"/>
      <c r="H18" s="31">
        <f>D18*G18</f>
        <v>0</v>
      </c>
      <c r="I18" s="71" t="s">
        <v>42</v>
      </c>
    </row>
    <row r="19" ht="24" spans="1:9">
      <c r="A19" s="35" t="s">
        <v>43</v>
      </c>
      <c r="B19" s="47" t="s">
        <v>44</v>
      </c>
      <c r="C19" s="48" t="s">
        <v>45</v>
      </c>
      <c r="D19" s="41">
        <v>1950</v>
      </c>
      <c r="E19" s="18">
        <v>0.5</v>
      </c>
      <c r="F19" s="29">
        <f>ROUND(D19*E19,2)</f>
        <v>975</v>
      </c>
      <c r="G19" s="30"/>
      <c r="H19" s="31">
        <f>D19*G19</f>
        <v>0</v>
      </c>
      <c r="I19" s="73" t="s">
        <v>46</v>
      </c>
    </row>
    <row r="20" ht="36" spans="1:9">
      <c r="A20" s="35" t="s">
        <v>47</v>
      </c>
      <c r="B20" s="49" t="s">
        <v>48</v>
      </c>
      <c r="C20" s="37" t="s">
        <v>45</v>
      </c>
      <c r="D20" s="41">
        <v>23188</v>
      </c>
      <c r="E20" s="18">
        <v>10</v>
      </c>
      <c r="F20" s="29">
        <f t="shared" ref="F20:F25" si="1">ROUND(D20*E20,2)</f>
        <v>231880</v>
      </c>
      <c r="G20" s="30"/>
      <c r="H20" s="31">
        <f>D20*G20</f>
        <v>0</v>
      </c>
      <c r="I20" s="75" t="s">
        <v>49</v>
      </c>
    </row>
    <row r="21" spans="1:9">
      <c r="A21" s="44" t="s">
        <v>50</v>
      </c>
      <c r="B21" s="50" t="s">
        <v>51</v>
      </c>
      <c r="C21" s="51"/>
      <c r="D21" s="51"/>
      <c r="E21" s="51"/>
      <c r="F21" s="51"/>
      <c r="G21" s="52"/>
      <c r="H21" s="51"/>
      <c r="I21" s="76"/>
    </row>
    <row r="22" spans="1:9">
      <c r="A22" s="35" t="s">
        <v>52</v>
      </c>
      <c r="B22" s="36" t="s">
        <v>53</v>
      </c>
      <c r="C22" s="48" t="s">
        <v>18</v>
      </c>
      <c r="D22" s="41">
        <v>1369</v>
      </c>
      <c r="E22" s="18">
        <v>3.5</v>
      </c>
      <c r="F22" s="29">
        <f t="shared" si="1"/>
        <v>4791.5</v>
      </c>
      <c r="G22" s="30"/>
      <c r="H22" s="31">
        <f>D22*G22</f>
        <v>0</v>
      </c>
      <c r="I22" s="71" t="s">
        <v>54</v>
      </c>
    </row>
    <row r="23" spans="1:9">
      <c r="A23" s="44" t="s">
        <v>55</v>
      </c>
      <c r="B23" s="45" t="s">
        <v>56</v>
      </c>
      <c r="C23" s="46"/>
      <c r="D23" s="46"/>
      <c r="E23" s="46"/>
      <c r="F23" s="46"/>
      <c r="G23" s="46"/>
      <c r="H23" s="46"/>
      <c r="I23" s="74"/>
    </row>
    <row r="24" ht="36" spans="1:9">
      <c r="A24" s="35" t="s">
        <v>57</v>
      </c>
      <c r="B24" s="36" t="s">
        <v>58</v>
      </c>
      <c r="C24" s="37" t="s">
        <v>18</v>
      </c>
      <c r="D24" s="41">
        <v>1777.8</v>
      </c>
      <c r="E24" s="39">
        <v>194</v>
      </c>
      <c r="F24" s="29">
        <f t="shared" si="1"/>
        <v>344893.2</v>
      </c>
      <c r="G24" s="30"/>
      <c r="H24" s="31">
        <f t="shared" ref="H24:H33" si="2">D24*G24</f>
        <v>0</v>
      </c>
      <c r="I24" s="72" t="s">
        <v>59</v>
      </c>
    </row>
    <row r="25" ht="48" spans="1:9">
      <c r="A25" s="35" t="s">
        <v>60</v>
      </c>
      <c r="B25" s="36" t="s">
        <v>61</v>
      </c>
      <c r="C25" s="37" t="s">
        <v>18</v>
      </c>
      <c r="D25" s="41">
        <v>761.79</v>
      </c>
      <c r="E25" s="39">
        <f>E24</f>
        <v>194</v>
      </c>
      <c r="F25" s="29">
        <f t="shared" si="1"/>
        <v>147787.26</v>
      </c>
      <c r="G25" s="30"/>
      <c r="H25" s="31">
        <f t="shared" si="2"/>
        <v>0</v>
      </c>
      <c r="I25" s="72"/>
    </row>
    <row r="26" s="1" customFormat="1" spans="1:9">
      <c r="A26" s="44" t="s">
        <v>62</v>
      </c>
      <c r="B26" s="50" t="s">
        <v>63</v>
      </c>
      <c r="C26" s="51"/>
      <c r="D26" s="51"/>
      <c r="E26" s="51"/>
      <c r="F26" s="51"/>
      <c r="G26" s="52"/>
      <c r="H26" s="51"/>
      <c r="I26" s="76"/>
    </row>
    <row r="27" ht="36" spans="1:9">
      <c r="A27" s="35" t="s">
        <v>64</v>
      </c>
      <c r="B27" s="36" t="s">
        <v>65</v>
      </c>
      <c r="C27" s="37" t="s">
        <v>18</v>
      </c>
      <c r="D27" s="53">
        <v>330.3</v>
      </c>
      <c r="E27" s="39">
        <v>194</v>
      </c>
      <c r="F27" s="29">
        <f t="shared" ref="F27:F33" si="3">ROUND(D27*E27,2)</f>
        <v>64078.2</v>
      </c>
      <c r="G27" s="30"/>
      <c r="H27" s="31">
        <f t="shared" si="2"/>
        <v>0</v>
      </c>
      <c r="I27" s="72" t="s">
        <v>59</v>
      </c>
    </row>
    <row r="28" spans="1:9">
      <c r="A28" s="44" t="s">
        <v>66</v>
      </c>
      <c r="B28" s="50" t="s">
        <v>67</v>
      </c>
      <c r="C28" s="51"/>
      <c r="D28" s="51"/>
      <c r="E28" s="51"/>
      <c r="F28" s="51"/>
      <c r="G28" s="52"/>
      <c r="H28" s="51"/>
      <c r="I28" s="76"/>
    </row>
    <row r="29" ht="48" spans="1:9">
      <c r="A29" s="35" t="s">
        <v>68</v>
      </c>
      <c r="B29" s="36" t="s">
        <v>69</v>
      </c>
      <c r="C29" s="37" t="s">
        <v>18</v>
      </c>
      <c r="D29" s="53">
        <v>84.3</v>
      </c>
      <c r="E29" s="39">
        <f>E27+40</f>
        <v>234</v>
      </c>
      <c r="F29" s="29">
        <f t="shared" si="3"/>
        <v>19726.2</v>
      </c>
      <c r="G29" s="30"/>
      <c r="H29" s="31">
        <f t="shared" si="2"/>
        <v>0</v>
      </c>
      <c r="I29" s="72" t="s">
        <v>70</v>
      </c>
    </row>
    <row r="30" spans="1:9">
      <c r="A30" s="35" t="s">
        <v>71</v>
      </c>
      <c r="B30" s="36" t="s">
        <v>72</v>
      </c>
      <c r="C30" s="37"/>
      <c r="D30" s="41"/>
      <c r="E30" s="18"/>
      <c r="F30" s="39">
        <f>E30*D30</f>
        <v>0</v>
      </c>
      <c r="G30" s="40"/>
      <c r="H30" s="31">
        <f t="shared" si="2"/>
        <v>0</v>
      </c>
      <c r="I30" s="72"/>
    </row>
    <row r="31" spans="1:9">
      <c r="A31" s="35" t="s">
        <v>73</v>
      </c>
      <c r="B31" s="36" t="s">
        <v>74</v>
      </c>
      <c r="C31" s="37" t="s">
        <v>18</v>
      </c>
      <c r="D31" s="53">
        <v>2330.81</v>
      </c>
      <c r="E31" s="18">
        <f>E27+60</f>
        <v>254</v>
      </c>
      <c r="F31" s="29">
        <f t="shared" si="3"/>
        <v>592025.74</v>
      </c>
      <c r="G31" s="54"/>
      <c r="H31" s="31">
        <f t="shared" si="2"/>
        <v>0</v>
      </c>
      <c r="I31" s="77" t="s">
        <v>75</v>
      </c>
    </row>
    <row r="32" spans="1:9">
      <c r="A32" s="35" t="s">
        <v>76</v>
      </c>
      <c r="B32" s="36" t="s">
        <v>77</v>
      </c>
      <c r="C32" s="37" t="s">
        <v>18</v>
      </c>
      <c r="D32" s="38">
        <v>669.94</v>
      </c>
      <c r="E32" s="18">
        <f>E27+50</f>
        <v>244</v>
      </c>
      <c r="F32" s="29">
        <f t="shared" si="3"/>
        <v>163465.36</v>
      </c>
      <c r="G32" s="54"/>
      <c r="H32" s="31">
        <f t="shared" si="2"/>
        <v>0</v>
      </c>
      <c r="I32" s="78"/>
    </row>
    <row r="33" ht="36" spans="1:9">
      <c r="A33" s="35" t="s">
        <v>78</v>
      </c>
      <c r="B33" s="36" t="s">
        <v>79</v>
      </c>
      <c r="C33" s="37" t="s">
        <v>18</v>
      </c>
      <c r="D33" s="38">
        <v>418.37</v>
      </c>
      <c r="E33" s="18">
        <v>194</v>
      </c>
      <c r="F33" s="29">
        <f t="shared" si="3"/>
        <v>81163.78</v>
      </c>
      <c r="G33" s="30"/>
      <c r="H33" s="31">
        <f t="shared" si="2"/>
        <v>0</v>
      </c>
      <c r="I33" s="73" t="s">
        <v>80</v>
      </c>
    </row>
    <row r="34" spans="1:9">
      <c r="A34" s="44">
        <v>209</v>
      </c>
      <c r="B34" s="45" t="s">
        <v>81</v>
      </c>
      <c r="C34" s="46"/>
      <c r="D34" s="46"/>
      <c r="E34" s="46"/>
      <c r="F34" s="46"/>
      <c r="G34" s="46"/>
      <c r="H34" s="46"/>
      <c r="I34" s="74"/>
    </row>
    <row r="35" ht="24" spans="1:9">
      <c r="A35" s="35" t="s">
        <v>82</v>
      </c>
      <c r="B35" s="36" t="s">
        <v>83</v>
      </c>
      <c r="C35" s="37" t="s">
        <v>18</v>
      </c>
      <c r="D35" s="37">
        <f>909.7+200</f>
        <v>1109.7</v>
      </c>
      <c r="E35" s="39">
        <v>194</v>
      </c>
      <c r="F35" s="29">
        <f t="shared" ref="F35:F41" si="4">ROUND(D35*E35,2)</f>
        <v>215281.8</v>
      </c>
      <c r="G35" s="30"/>
      <c r="H35" s="31">
        <f t="shared" ref="H35:H41" si="5">D35*G35</f>
        <v>0</v>
      </c>
      <c r="I35" s="72" t="s">
        <v>84</v>
      </c>
    </row>
    <row r="36" ht="36" spans="1:9">
      <c r="A36" s="35" t="s">
        <v>85</v>
      </c>
      <c r="B36" s="36" t="s">
        <v>86</v>
      </c>
      <c r="C36" s="37" t="s">
        <v>18</v>
      </c>
      <c r="D36" s="38">
        <f>(8.96+1.6)*68</f>
        <v>718.08</v>
      </c>
      <c r="E36" s="39">
        <f>E35</f>
        <v>194</v>
      </c>
      <c r="F36" s="29">
        <f t="shared" si="4"/>
        <v>139307.52</v>
      </c>
      <c r="G36" s="30"/>
      <c r="H36" s="31">
        <f t="shared" si="5"/>
        <v>0</v>
      </c>
      <c r="I36" s="72"/>
    </row>
    <row r="37" ht="24" spans="1:9">
      <c r="A37" s="35" t="s">
        <v>87</v>
      </c>
      <c r="B37" s="36" t="s">
        <v>88</v>
      </c>
      <c r="C37" s="37" t="s">
        <v>18</v>
      </c>
      <c r="D37" s="38">
        <v>872.4</v>
      </c>
      <c r="E37" s="39">
        <f>E36</f>
        <v>194</v>
      </c>
      <c r="F37" s="29">
        <f t="shared" si="4"/>
        <v>169245.6</v>
      </c>
      <c r="G37" s="30"/>
      <c r="H37" s="31">
        <f t="shared" si="5"/>
        <v>0</v>
      </c>
      <c r="I37" s="72"/>
    </row>
    <row r="38" ht="36" spans="1:9">
      <c r="A38" s="55" t="s">
        <v>89</v>
      </c>
      <c r="B38" s="36" t="s">
        <v>90</v>
      </c>
      <c r="C38" s="37" t="s">
        <v>18</v>
      </c>
      <c r="D38" s="37">
        <v>571.3</v>
      </c>
      <c r="E38" s="39">
        <v>194</v>
      </c>
      <c r="F38" s="29">
        <f t="shared" si="4"/>
        <v>110832.2</v>
      </c>
      <c r="G38" s="30"/>
      <c r="H38" s="31">
        <f t="shared" si="5"/>
        <v>0</v>
      </c>
      <c r="I38" s="72"/>
    </row>
    <row r="39" ht="24" spans="1:9">
      <c r="A39" s="35" t="s">
        <v>91</v>
      </c>
      <c r="B39" s="36" t="s">
        <v>92</v>
      </c>
      <c r="C39" s="37" t="s">
        <v>18</v>
      </c>
      <c r="D39" s="38">
        <v>1220.21</v>
      </c>
      <c r="E39" s="39">
        <v>194</v>
      </c>
      <c r="F39" s="29">
        <f t="shared" si="4"/>
        <v>236720.74</v>
      </c>
      <c r="G39" s="30"/>
      <c r="H39" s="31">
        <f t="shared" si="5"/>
        <v>0</v>
      </c>
      <c r="I39" s="72"/>
    </row>
    <row r="40" ht="24" spans="1:9">
      <c r="A40" s="35" t="s">
        <v>93</v>
      </c>
      <c r="B40" s="36" t="s">
        <v>94</v>
      </c>
      <c r="C40" s="37" t="s">
        <v>18</v>
      </c>
      <c r="D40" s="38">
        <v>5260</v>
      </c>
      <c r="E40" s="39">
        <v>194</v>
      </c>
      <c r="F40" s="29">
        <f t="shared" si="4"/>
        <v>1020440</v>
      </c>
      <c r="G40" s="30"/>
      <c r="H40" s="31">
        <f t="shared" si="5"/>
        <v>0</v>
      </c>
      <c r="I40" s="72"/>
    </row>
    <row r="41" ht="24" spans="1:9">
      <c r="A41" s="35" t="s">
        <v>95</v>
      </c>
      <c r="B41" s="36" t="s">
        <v>96</v>
      </c>
      <c r="C41" s="37" t="s">
        <v>18</v>
      </c>
      <c r="D41" s="38">
        <f>200+5300</f>
        <v>5500</v>
      </c>
      <c r="E41" s="39">
        <v>194</v>
      </c>
      <c r="F41" s="29">
        <f t="shared" si="4"/>
        <v>1067000</v>
      </c>
      <c r="G41" s="30"/>
      <c r="H41" s="31">
        <f t="shared" si="5"/>
        <v>0</v>
      </c>
      <c r="I41" s="72"/>
    </row>
    <row r="42" spans="1:9">
      <c r="A42" s="44" t="s">
        <v>97</v>
      </c>
      <c r="B42" s="50" t="s">
        <v>98</v>
      </c>
      <c r="C42" s="51"/>
      <c r="D42" s="51"/>
      <c r="E42" s="51"/>
      <c r="F42" s="51"/>
      <c r="G42" s="52"/>
      <c r="H42" s="51"/>
      <c r="I42" s="76"/>
    </row>
    <row r="43" ht="24" spans="1:9">
      <c r="A43" s="35" t="s">
        <v>99</v>
      </c>
      <c r="B43" s="36" t="s">
        <v>100</v>
      </c>
      <c r="C43" s="37" t="s">
        <v>18</v>
      </c>
      <c r="D43" s="38">
        <v>1766.2</v>
      </c>
      <c r="E43" s="18">
        <v>130</v>
      </c>
      <c r="F43" s="29">
        <f t="shared" ref="F43:F45" si="6">ROUND(D43*E43,2)</f>
        <v>229606</v>
      </c>
      <c r="G43" s="56"/>
      <c r="H43" s="31">
        <f>D43*G43</f>
        <v>0</v>
      </c>
      <c r="I43" s="77" t="s">
        <v>101</v>
      </c>
    </row>
    <row r="44" ht="24" spans="1:9">
      <c r="A44" s="35" t="s">
        <v>102</v>
      </c>
      <c r="B44" s="36" t="s">
        <v>103</v>
      </c>
      <c r="C44" s="37" t="s">
        <v>18</v>
      </c>
      <c r="D44" s="38">
        <v>1803</v>
      </c>
      <c r="E44" s="18">
        <v>130</v>
      </c>
      <c r="F44" s="29">
        <f t="shared" si="6"/>
        <v>234390</v>
      </c>
      <c r="G44" s="54"/>
      <c r="H44" s="31">
        <f>D44*G44</f>
        <v>0</v>
      </c>
      <c r="I44" s="78"/>
    </row>
    <row r="45" spans="1:9">
      <c r="A45" s="35" t="s">
        <v>104</v>
      </c>
      <c r="B45" s="36" t="s">
        <v>105</v>
      </c>
      <c r="C45" s="37" t="s">
        <v>18</v>
      </c>
      <c r="D45" s="18">
        <v>8494</v>
      </c>
      <c r="E45" s="18">
        <v>8.5</v>
      </c>
      <c r="F45" s="29">
        <f t="shared" si="6"/>
        <v>72199</v>
      </c>
      <c r="G45" s="57"/>
      <c r="H45" s="31">
        <f>D45*G45</f>
        <v>0</v>
      </c>
      <c r="I45" s="78" t="s">
        <v>106</v>
      </c>
    </row>
    <row r="46" spans="1:9">
      <c r="A46" s="58" t="s">
        <v>107</v>
      </c>
      <c r="B46" s="59"/>
      <c r="C46" s="59"/>
      <c r="D46" s="59"/>
      <c r="E46" s="59"/>
      <c r="F46" s="59"/>
      <c r="G46" s="59"/>
      <c r="H46" s="59"/>
      <c r="I46" s="79"/>
    </row>
    <row r="47" ht="36" spans="1:9">
      <c r="A47" s="35" t="s">
        <v>108</v>
      </c>
      <c r="B47" s="36" t="s">
        <v>109</v>
      </c>
      <c r="C47" s="37" t="s">
        <v>18</v>
      </c>
      <c r="D47" s="37">
        <f>85.4-12.3</f>
        <v>73.1</v>
      </c>
      <c r="E47" s="41">
        <f>160+90</f>
        <v>250</v>
      </c>
      <c r="F47" s="29">
        <f t="shared" ref="F47:F54" si="7">ROUND(D47*E47,2)</f>
        <v>18275</v>
      </c>
      <c r="G47" s="30"/>
      <c r="H47" s="31">
        <f t="shared" ref="H47:H54" si="8">D47*G47</f>
        <v>0</v>
      </c>
      <c r="I47" s="73" t="s">
        <v>110</v>
      </c>
    </row>
    <row r="48" ht="36" spans="1:9">
      <c r="A48" s="35" t="s">
        <v>111</v>
      </c>
      <c r="B48" s="36" t="s">
        <v>112</v>
      </c>
      <c r="C48" s="37" t="s">
        <v>113</v>
      </c>
      <c r="D48" s="37">
        <f>21230-3752</f>
        <v>17478</v>
      </c>
      <c r="E48" s="41">
        <v>0.7</v>
      </c>
      <c r="F48" s="29">
        <f t="shared" si="7"/>
        <v>12234.6</v>
      </c>
      <c r="G48" s="30"/>
      <c r="H48" s="31">
        <f t="shared" si="8"/>
        <v>0</v>
      </c>
      <c r="I48" s="73" t="s">
        <v>114</v>
      </c>
    </row>
    <row r="49" ht="36" spans="1:9">
      <c r="A49" s="35" t="s">
        <v>115</v>
      </c>
      <c r="B49" s="36" t="s">
        <v>116</v>
      </c>
      <c r="C49" s="37" t="s">
        <v>18</v>
      </c>
      <c r="D49" s="37">
        <f>96.1-21.7</f>
        <v>74.4</v>
      </c>
      <c r="E49" s="41">
        <v>138</v>
      </c>
      <c r="F49" s="29">
        <f t="shared" si="7"/>
        <v>10267.2</v>
      </c>
      <c r="G49" s="30"/>
      <c r="H49" s="31">
        <f t="shared" si="8"/>
        <v>0</v>
      </c>
      <c r="I49" s="73" t="s">
        <v>117</v>
      </c>
    </row>
    <row r="50" ht="36" spans="1:9">
      <c r="A50" s="35" t="s">
        <v>118</v>
      </c>
      <c r="B50" s="36" t="s">
        <v>119</v>
      </c>
      <c r="C50" s="37" t="s">
        <v>18</v>
      </c>
      <c r="D50" s="37">
        <f>852.5-129.6</f>
        <v>722.9</v>
      </c>
      <c r="E50" s="41">
        <v>130</v>
      </c>
      <c r="F50" s="29">
        <f t="shared" si="7"/>
        <v>93977</v>
      </c>
      <c r="G50" s="30"/>
      <c r="H50" s="31">
        <f t="shared" si="8"/>
        <v>0</v>
      </c>
      <c r="I50" s="73" t="s">
        <v>101</v>
      </c>
    </row>
    <row r="51" ht="48" spans="1:9">
      <c r="A51" s="35" t="s">
        <v>120</v>
      </c>
      <c r="B51" s="36" t="s">
        <v>121</v>
      </c>
      <c r="C51" s="37" t="s">
        <v>18</v>
      </c>
      <c r="D51" s="37">
        <f>173.6-44.5</f>
        <v>129.1</v>
      </c>
      <c r="E51" s="41">
        <v>194</v>
      </c>
      <c r="F51" s="29">
        <f t="shared" si="7"/>
        <v>25045.4</v>
      </c>
      <c r="G51" s="30"/>
      <c r="H51" s="31">
        <f t="shared" si="8"/>
        <v>0</v>
      </c>
      <c r="I51" s="73" t="s">
        <v>84</v>
      </c>
    </row>
    <row r="52" spans="1:9">
      <c r="A52" s="35" t="s">
        <v>122</v>
      </c>
      <c r="B52" s="36" t="s">
        <v>105</v>
      </c>
      <c r="C52" s="37" t="s">
        <v>18</v>
      </c>
      <c r="D52" s="37">
        <f>2996.8-809.4</f>
        <v>2187.4</v>
      </c>
      <c r="E52" s="18">
        <v>8.5</v>
      </c>
      <c r="F52" s="29">
        <f t="shared" si="7"/>
        <v>18592.9</v>
      </c>
      <c r="G52" s="30"/>
      <c r="H52" s="31">
        <f t="shared" si="8"/>
        <v>0</v>
      </c>
      <c r="I52" s="73" t="s">
        <v>123</v>
      </c>
    </row>
    <row r="53" spans="1:9">
      <c r="A53" s="35" t="s">
        <v>124</v>
      </c>
      <c r="B53" s="36" t="s">
        <v>125</v>
      </c>
      <c r="C53" s="37" t="s">
        <v>45</v>
      </c>
      <c r="D53" s="37">
        <f>1071.9-169.75</f>
        <v>902.15</v>
      </c>
      <c r="E53" s="18">
        <v>2</v>
      </c>
      <c r="F53" s="29">
        <f t="shared" si="7"/>
        <v>1804.3</v>
      </c>
      <c r="G53" s="30"/>
      <c r="H53" s="31">
        <f t="shared" si="8"/>
        <v>0</v>
      </c>
      <c r="I53" s="73" t="s">
        <v>126</v>
      </c>
    </row>
    <row r="54" ht="24" spans="1:9">
      <c r="A54" s="35" t="s">
        <v>127</v>
      </c>
      <c r="B54" s="36" t="s">
        <v>128</v>
      </c>
      <c r="C54" s="37" t="s">
        <v>18</v>
      </c>
      <c r="D54" s="37">
        <f>2475.5-427.6</f>
        <v>2047.9</v>
      </c>
      <c r="E54" s="18">
        <v>3.5</v>
      </c>
      <c r="F54" s="29">
        <f t="shared" si="7"/>
        <v>7167.65</v>
      </c>
      <c r="G54" s="30"/>
      <c r="H54" s="31">
        <f t="shared" si="8"/>
        <v>0</v>
      </c>
      <c r="I54" s="73" t="s">
        <v>129</v>
      </c>
    </row>
    <row r="55" ht="17" customHeight="1" spans="1:9">
      <c r="A55" s="60" t="s">
        <v>130</v>
      </c>
      <c r="B55" s="61"/>
      <c r="C55" s="61"/>
      <c r="D55" s="61"/>
      <c r="E55" s="62"/>
      <c r="F55" s="63">
        <f>SUM(F5:F54)</f>
        <v>8199744.58</v>
      </c>
      <c r="G55" s="64"/>
      <c r="H55" s="65">
        <f>SUM(H5:H54)</f>
        <v>0</v>
      </c>
      <c r="I55" s="80"/>
    </row>
  </sheetData>
  <sheetProtection algorithmName="SHA-512" hashValue="kOspYWvITXan+2a/K6CPEQTBFWfdoQ4uVmEMvJj48PFDlw6zYFPjH4hOVOnhby7GbBsG/Horm5eytsjedezQlg==" saltValue="00mTw/YvaRagw8AwbcNX4A==" spinCount="100000" sheet="1" objects="1"/>
  <mergeCells count="28">
    <mergeCell ref="A1:I1"/>
    <mergeCell ref="A2:I2"/>
    <mergeCell ref="B6:I6"/>
    <mergeCell ref="B13:I13"/>
    <mergeCell ref="B16:I16"/>
    <mergeCell ref="B21:I21"/>
    <mergeCell ref="B23:I23"/>
    <mergeCell ref="B26:I26"/>
    <mergeCell ref="B28:I28"/>
    <mergeCell ref="B34:I34"/>
    <mergeCell ref="B42:I42"/>
    <mergeCell ref="A46:I46"/>
    <mergeCell ref="A55:E5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I8:I11"/>
    <mergeCell ref="I14:I15"/>
    <mergeCell ref="I24:I25"/>
    <mergeCell ref="I31:I32"/>
    <mergeCell ref="I35:I41"/>
    <mergeCell ref="I43:I44"/>
  </mergeCells>
  <conditionalFormatting sqref="A5:B5">
    <cfRule type="cellIs" dxfId="0" priority="17" operator="equal">
      <formula>0</formula>
    </cfRule>
  </conditionalFormatting>
  <conditionalFormatting sqref="D8">
    <cfRule type="cellIs" dxfId="0" priority="15" operator="equal">
      <formula>0</formula>
    </cfRule>
  </conditionalFormatting>
  <conditionalFormatting sqref="D12">
    <cfRule type="cellIs" dxfId="0" priority="5" operator="equal">
      <formula>0</formula>
    </cfRule>
  </conditionalFormatting>
  <conditionalFormatting sqref="D14">
    <cfRule type="cellIs" dxfId="0" priority="13" operator="equal">
      <formula>0</formula>
    </cfRule>
  </conditionalFormatting>
  <conditionalFormatting sqref="D15">
    <cfRule type="cellIs" dxfId="0" priority="12" operator="equal">
      <formula>0</formula>
    </cfRule>
  </conditionalFormatting>
  <conditionalFormatting sqref="D19">
    <cfRule type="cellIs" dxfId="0" priority="11" operator="equal">
      <formula>0</formula>
    </cfRule>
  </conditionalFormatting>
  <conditionalFormatting sqref="D22">
    <cfRule type="cellIs" dxfId="0" priority="6" operator="equal">
      <formula>0</formula>
    </cfRule>
  </conditionalFormatting>
  <conditionalFormatting sqref="D27">
    <cfRule type="cellIs" dxfId="0" priority="9" operator="equal">
      <formula>0</formula>
    </cfRule>
  </conditionalFormatting>
  <conditionalFormatting sqref="B33:C33">
    <cfRule type="cellIs" dxfId="1" priority="2" stopIfTrue="1" operator="equal">
      <formula>0</formula>
    </cfRule>
  </conditionalFormatting>
  <conditionalFormatting sqref="D33">
    <cfRule type="cellIs" dxfId="0" priority="1" operator="equal">
      <formula>0</formula>
    </cfRule>
  </conditionalFormatting>
  <conditionalFormatting sqref="D9:D11">
    <cfRule type="cellIs" dxfId="0" priority="14" operator="equal">
      <formula>0</formula>
    </cfRule>
  </conditionalFormatting>
  <conditionalFormatting sqref="D24:D25">
    <cfRule type="cellIs" dxfId="0" priority="10" operator="equal">
      <formula>0</formula>
    </cfRule>
  </conditionalFormatting>
  <conditionalFormatting sqref="D29:D32">
    <cfRule type="cellIs" dxfId="0" priority="8" operator="equal">
      <formula>0</formula>
    </cfRule>
  </conditionalFormatting>
  <conditionalFormatting sqref="E47:E51">
    <cfRule type="cellIs" dxfId="0" priority="4" operator="equal">
      <formula>0</formula>
    </cfRule>
  </conditionalFormatting>
  <conditionalFormatting sqref="D17 D20">
    <cfRule type="cellIs" dxfId="0" priority="7" operator="equal">
      <formula>0</formula>
    </cfRule>
  </conditionalFormatting>
  <conditionalFormatting sqref="A28:B28 A29:C30 A31:A33">
    <cfRule type="cellIs" dxfId="1" priority="16" stopIfTrue="1" operator="equal">
      <formula>0</formula>
    </cfRule>
  </conditionalFormatting>
  <conditionalFormatting sqref="B31:C32">
    <cfRule type="cellIs" dxfId="1" priority="3" stopIfTrue="1" operator="equal">
      <formula>0</formula>
    </cfRule>
  </conditionalFormatting>
  <dataValidations count="1">
    <dataValidation type="list" allowBlank="1" showInputMessage="1" showErrorMessage="1" errorTitle="错误" error="您输入的内容不符合标准，请按下箭头选择。" sqref="B12">
      <formula1>" ,劳务协作,主材,机械,周材"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执子听花语</cp:lastModifiedBy>
  <dcterms:created xsi:type="dcterms:W3CDTF">2023-05-12T11:15:00Z</dcterms:created>
  <dcterms:modified xsi:type="dcterms:W3CDTF">2025-02-24T09:26:19Z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23C7869B119B4F2DA90BFF84DF98B459_12</vt:lpwstr>
  </property>
</Properties>
</file>