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大方G321线K1626+300～K1660+120段" sheetId="1" r:id="rId1"/>
    <sheet name="黔西G212线K1731+250～K1751+110段" sheetId="2" r:id="rId2"/>
  </sheets>
  <definedNames>
    <definedName name="_xlnm.Print_Area" localSheetId="0">'大方G321线K1626+300～K1660+120段'!$A$1:$I$35</definedName>
    <definedName name="_xlnm.Print_Area" localSheetId="1">'黔西G212线K1731+250～K1751+110段'!$A$1:$I$21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<sst xmlns="http://schemas.openxmlformats.org/spreadsheetml/2006/main" count="196" uniqueCount="117">
  <si>
    <t>工程量清单及限价</t>
  </si>
  <si>
    <t>项目名称：毕节公路管路局2025年普通国省道灾害防治工程（大方、黔西）项目（大方G321线K1626+300～K1660+120段）</t>
  </si>
  <si>
    <t>细目编号</t>
  </si>
  <si>
    <t>工程名称</t>
  </si>
  <si>
    <t>单位</t>
  </si>
  <si>
    <t>工程数量</t>
  </si>
  <si>
    <t>单价限价（元）
（不含税）</t>
  </si>
  <si>
    <t>限价总价（元）</t>
  </si>
  <si>
    <t>报价（元）</t>
  </si>
  <si>
    <t>总价（元）</t>
  </si>
  <si>
    <t>分包内容</t>
  </si>
  <si>
    <t>临时用工</t>
  </si>
  <si>
    <t>工日</t>
  </si>
  <si>
    <r>
      <rPr>
        <sz val="9"/>
        <rFont val="SimSun"/>
        <charset val="134"/>
      </rPr>
      <t>含所涉及的全部费用，工日以实际发生为准。</t>
    </r>
  </si>
  <si>
    <t>交通维护用工</t>
  </si>
  <si>
    <t>月</t>
  </si>
  <si>
    <r>
      <rPr>
        <sz val="9"/>
        <rFont val="宋体"/>
        <charset val="134"/>
        <scheme val="minor"/>
      </rPr>
      <t>劳务单价为每人</t>
    </r>
    <r>
      <rPr>
        <sz val="8"/>
        <color rgb="FF000000"/>
        <rFont val="Arial"/>
        <charset val="134"/>
      </rPr>
      <t>30</t>
    </r>
    <r>
      <rPr>
        <sz val="8"/>
        <color rgb="FF000000"/>
        <rFont val="宋体"/>
        <charset val="134"/>
      </rPr>
      <t>工日</t>
    </r>
    <r>
      <rPr>
        <sz val="8"/>
        <color rgb="FF000000"/>
        <rFont val="Arial"/>
        <charset val="134"/>
      </rPr>
      <t>/</t>
    </r>
    <r>
      <rPr>
        <sz val="8"/>
        <color rgb="FF000000"/>
        <rFont val="宋体"/>
        <charset val="134"/>
      </rPr>
      <t>月，每人实际产生工日超出</t>
    </r>
    <r>
      <rPr>
        <sz val="8"/>
        <color rgb="FF000000"/>
        <rFont val="Arial"/>
        <charset val="134"/>
      </rPr>
      <t>30</t>
    </r>
    <r>
      <rPr>
        <sz val="8"/>
        <color rgb="FF000000"/>
        <rFont val="宋体"/>
        <charset val="134"/>
      </rPr>
      <t>天或少于</t>
    </r>
    <r>
      <rPr>
        <sz val="8"/>
        <color rgb="FF000000"/>
        <rFont val="Arial"/>
        <charset val="134"/>
      </rPr>
      <t>30</t>
    </r>
    <r>
      <rPr>
        <sz val="8"/>
        <color rgb="FF000000"/>
        <rFont val="宋体"/>
        <charset val="134"/>
      </rPr>
      <t>天的，按每人</t>
    </r>
    <r>
      <rPr>
        <sz val="8"/>
        <color rgb="FF000000"/>
        <rFont val="Arial"/>
        <charset val="134"/>
      </rPr>
      <t>3600/30=120</t>
    </r>
    <r>
      <rPr>
        <sz val="8"/>
        <color rgb="FF000000"/>
        <rFont val="宋体"/>
        <charset val="134"/>
      </rPr>
      <t>元</t>
    </r>
    <r>
      <rPr>
        <sz val="8"/>
        <color rgb="FF000000"/>
        <rFont val="Arial"/>
        <charset val="134"/>
      </rPr>
      <t>/</t>
    </r>
    <r>
      <rPr>
        <sz val="8"/>
        <color rgb="FF000000"/>
        <rFont val="宋体"/>
        <charset val="134"/>
      </rPr>
      <t>工日计算。</t>
    </r>
  </si>
  <si>
    <t>2.0m³以内履带挖掘机</t>
  </si>
  <si>
    <t>台班</t>
  </si>
  <si>
    <t>含燃油、维修保养、驾驶人员费用，以实际发生台班为准。</t>
  </si>
  <si>
    <t>长臂挖掘机</t>
  </si>
  <si>
    <t>202</t>
  </si>
  <si>
    <t>修复或完善排水、防护工程</t>
  </si>
  <si>
    <t>202-05</t>
  </si>
  <si>
    <t>M30水泥砂浆裂缝封堵</t>
  </si>
  <si>
    <t>m³</t>
  </si>
  <si>
    <t>包含内容：人工费、机械费、小型设备费。包含工序：材料场内转运、灌封饱满、无遗漏。</t>
  </si>
  <si>
    <t>裂缝灌浆/20元/m</t>
  </si>
  <si>
    <t>人工拆除50元</t>
  </si>
  <si>
    <t>挖方</t>
  </si>
  <si>
    <t>211-01-4</t>
  </si>
  <si>
    <t>挖石方（清除危岩）</t>
  </si>
  <si>
    <r>
      <rPr>
        <sz val="9"/>
        <rFont val="宋体"/>
        <charset val="134"/>
        <scheme val="minor"/>
      </rPr>
      <t>包含内容：挖装运所耗用的全部人工、机械、材料及安全费用；</t>
    </r>
    <r>
      <rPr>
        <b/>
        <sz val="9"/>
        <rFont val="宋体"/>
        <charset val="134"/>
        <scheme val="minor"/>
      </rPr>
      <t>含1Km运距</t>
    </r>
    <r>
      <rPr>
        <sz val="9"/>
        <rFont val="宋体"/>
        <charset val="134"/>
        <scheme val="minor"/>
      </rPr>
      <t>。不含弃土费。</t>
    </r>
  </si>
  <si>
    <t>211-01-2</t>
  </si>
  <si>
    <t>挖石方（破碎锤冷开次坚石）</t>
  </si>
  <si>
    <t>211-02-2</t>
  </si>
  <si>
    <t>弃方超运1KM</t>
  </si>
  <si>
    <t>m³.km</t>
  </si>
  <si>
    <r>
      <rPr>
        <sz val="9"/>
        <rFont val="宋体"/>
        <charset val="134"/>
        <scheme val="minor"/>
      </rPr>
      <t>包含内容：</t>
    </r>
    <r>
      <rPr>
        <b/>
        <sz val="9"/>
        <rFont val="宋体"/>
        <charset val="134"/>
        <scheme val="minor"/>
      </rPr>
      <t>超出1KM以外的运输</t>
    </r>
    <r>
      <rPr>
        <sz val="9"/>
        <rFont val="宋体"/>
        <charset val="134"/>
        <scheme val="minor"/>
      </rPr>
      <t>，起步价已包含在土石方开挖单价内。运输的所有费用及安全费，按设计方量计算，不含过路费。包含工序，按指定地点堆弃。</t>
    </r>
  </si>
  <si>
    <t>排水工程</t>
  </si>
  <si>
    <t>214-01-2</t>
  </si>
  <si>
    <t>M7.5浆砌片（块）石边沟</t>
  </si>
  <si>
    <t>包含内容：含材料（片石、砂浆）、人工费、小型设备费（砂浆搅拌机、称量设备等），包含工序：基坑挖装运、人工清基、砂浆搅拌、片石修整、砌筑、勾缝、文明施工及场地清理。</t>
  </si>
  <si>
    <t>214-01-7</t>
  </si>
  <si>
    <t>C25混凝土</t>
  </si>
  <si>
    <t>包含内容：除材料（混凝土）外的所有费用。人工费、模板费、脱模剂等低耗材料；包含工序：模板清理、安装拆除、刷油、加固、模板堆放整齐及场内转运、混凝土振动密实、养生、文明施工及场地清理。</t>
  </si>
  <si>
    <t>护坡、护面墙</t>
  </si>
  <si>
    <t>215-01</t>
  </si>
  <si>
    <t>钢筋（不分规格）</t>
  </si>
  <si>
    <t>kg</t>
  </si>
  <si>
    <t>包含内容：除材料（钢筋）外的人工费、电费、辅助材料费（扎丝、焊条、焊线、焊钳、面罩）。包含工序：原材料及半成品场内转运、装卸、钢筋按图纸加工、安装、绑扎、焊接、文明施工及场地清理。</t>
  </si>
  <si>
    <t>215-01-4</t>
  </si>
  <si>
    <t>锚杆（挂网喷射砼）</t>
  </si>
  <si>
    <t>m</t>
  </si>
  <si>
    <t>包含内容：除材料（钢筋锚杆）外的所有工作内容。包含工序：脚手架安拆、钻机就位、钻孔、钢筋锚杆制作及安装、砂浆调制、注浆，文明施工及场地清理。动力费用（电费或燃油）包含在单价中。</t>
  </si>
  <si>
    <t>-a</t>
  </si>
  <si>
    <t>Φ100mm软式透水管</t>
  </si>
  <si>
    <t>包含内容：含人材机全部费用。包含工序：含脚手架搭拆、钻孔、安装、场内转运等全部工序。含文明施工及场地清理。</t>
  </si>
  <si>
    <t>215-02-8</t>
  </si>
  <si>
    <t>植生袋植草</t>
  </si>
  <si>
    <t>m²</t>
  </si>
  <si>
    <t>包含内容：工料机全部费用，含培植土。包含工序：破面清理及堪补、土壤改良拌和、植生袋装土、码放固定植生袋、覆盖遮阳网、养护、文明施工及场地清理。含草种。</t>
  </si>
  <si>
    <t>219-02-1</t>
  </si>
  <si>
    <t>喷射混凝土防护（厚10cm）</t>
  </si>
  <si>
    <t>包含内容：除材料（水泥、碎石、砂、速凝剂|)外的所有工作内容。包含工序：搭、拆脚手架；混凝土拌合、喷射、养生、场地清理。</t>
  </si>
  <si>
    <t>219-03-1</t>
  </si>
  <si>
    <t>C30混凝土（锚索框架、独立锚）</t>
  </si>
  <si>
    <t>包含内容：除材料（混凝土）外的人工费、小型设备费、模板费、脚手架。包含工序：人工挖基、模板安装加固、模板清理上油、模板拆除堆放整齐、混凝土浇筑、振捣密实、养生、文明施工及场地清理。不含泵送费用。泵送单价40元/m3。</t>
  </si>
  <si>
    <t>220-01</t>
  </si>
  <si>
    <t>预应力锚索</t>
  </si>
  <si>
    <t>包含内容：除材料（钢绞线、夹片、锚垫板、螺旋筋、注浆材料）及智能张拉压浆设备外的所有工作内容。包含工序：脚手架搭拆、钻机就位、钻孔、导向帽安装、锚索制作及安装、张拉、注浆、封锚、文明施工及场地清理。含动力费（电费及燃油）</t>
  </si>
  <si>
    <t>220-01-a</t>
  </si>
  <si>
    <t>注浆材料（M30）</t>
  </si>
  <si>
    <t>包含内容：含人材机全部费用。包含工序：水泥浆调制、注浆、场地清理及文明施工。</t>
  </si>
  <si>
    <t>220-01-b</t>
  </si>
  <si>
    <t>注浆材料（M35）</t>
  </si>
  <si>
    <t>222-01</t>
  </si>
  <si>
    <t>主动防护网</t>
  </si>
  <si>
    <t>包含内容:除材料(主动防护网)外的所有工作内容。包含工序：材料下车、钻孔、锚杆及锚钉安装、钢绳网安装、缝合、计价数量不高于设计。不含防护网材料，其余材料均包含。劳务单价含锚杆。</t>
  </si>
  <si>
    <t>主动防护网锚杆</t>
  </si>
  <si>
    <t>包含内容：除材料（锚杆、注浆水泥）外的所有工作内容。包含工序：脚手架安拆、钻机就位、钻孔、锚杆制作及安装、砂浆调制、注浆、文明施工及场地清理、动力费（电费及燃油）包含在单价中。</t>
  </si>
  <si>
    <t>216</t>
  </si>
  <si>
    <t>挡土墙</t>
  </si>
  <si>
    <t>216-02-2</t>
  </si>
  <si>
    <t>片石混凝土挡土墙</t>
  </si>
  <si>
    <t>包含内容：除材料（混凝土、片石）外的人工费、机械费、小型设备费、模板费、脚手架。包含工序：人工清基、支架搭拆、码放片石、模板安装加固、模板清理上油、模板堆放整齐、混凝土浇筑振捣密实、覆膜养生、文明施工及场地清理。</t>
  </si>
  <si>
    <t>检修踏步</t>
  </si>
  <si>
    <t>224-01</t>
  </si>
  <si>
    <t>C15混凝土</t>
  </si>
  <si>
    <t>包含内容：含材料(混凝土)等所涉及全
部人材机费用。包含工序：基坑开挖及清理、模板、浇筑、振捣抹面、养护、安全文明施工及场地清理。</t>
  </si>
  <si>
    <t>224-02</t>
  </si>
  <si>
    <t>边坡扶手</t>
  </si>
  <si>
    <t>包含内容：除材料(管材、基础材料)外
所涉及的所有工作内容。包含工序：原材料及(半)成品场内转运、安装、基础开挖及施工、焊接、文明施工及场地清理。</t>
  </si>
  <si>
    <t>硬质围挡</t>
  </si>
  <si>
    <t>包含内容：含人材机全部费用。包含工序：含围挡材料、安装、场内转运、拆卸、更换等全部工序。含文明施工及场地清理。</t>
  </si>
  <si>
    <t>合计（元）：</t>
  </si>
  <si>
    <t>项目名称：毕节公路管路局2025年普通国省道灾害防治工程（大方、黔西）项目（黔西G212线K1731+250～K1751+110段）</t>
  </si>
  <si>
    <t>包含内容：挖装运所耗用的全部人工、机械、材料及安全费用；含1Km运距。</t>
  </si>
  <si>
    <t>挖石方（塌方清理）</t>
  </si>
  <si>
    <t>包含内容：超出1KM以外的运输，起步价已包含在土石方开挖单价内。运输的所有费用及安全费，按设计方量计算，不含过路费。包含工序，按指定地点堆弃。</t>
  </si>
  <si>
    <t>㎡</t>
  </si>
  <si>
    <t>主动防护网锚杆1410.48m</t>
  </si>
  <si>
    <t>215-05-1</t>
  </si>
  <si>
    <t>现浇混凝土护坡（坡面嵌补C20砼）</t>
  </si>
  <si>
    <t>包含内容：除材料（水泥、碎石、砂、速凝剂|)外的所有工作内容。包含工序：搭、拆脚手架；混凝土浇筑、模板安拆、混凝土养生、安全文明施工及场地清理。</t>
  </si>
  <si>
    <t>215-05-1-a</t>
  </si>
  <si>
    <t>C20混凝土嵌补锚杆（Φ28mm）</t>
  </si>
  <si>
    <t>喷射混凝土（C20）</t>
  </si>
  <si>
    <t>219-02-2</t>
  </si>
  <si>
    <t>钢筋网</t>
  </si>
  <si>
    <t>包含内容：人工费、辅助材料费（扎丝、焊条、焊线、焊钳、面罩），包含工序：加工、安装。</t>
  </si>
  <si>
    <t>219-02-3</t>
  </si>
  <si>
    <t>挂网喷砼锚杆（Φ25mm）</t>
  </si>
  <si>
    <t>219-02-4</t>
  </si>
  <si>
    <t>工字钢防护硬质围挡</t>
  </si>
  <si>
    <t>219-03-2</t>
  </si>
  <si>
    <t>C20混凝土条形基础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</si>
</sst>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Arial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  <scheme val="maj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9"/>
      <name val="宋体"/>
      <charset val="134"/>
      <scheme val="minor"/>
    </font>
    <font>
      <b/>
      <sz val="9"/>
      <name val="宋体"/>
      <charset val="134"/>
    </font>
    <font>
      <sz val="9"/>
      <name val="SimSun"/>
      <charset val="134"/>
    </font>
    <font>
      <b/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000000"/>
      <name val="Arial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8" applyNumberFormat="0" applyAlignment="0" applyProtection="0">
      <alignment vertical="center"/>
    </xf>
    <xf numFmtId="0" fontId="32" fillId="4" borderId="9" applyNumberFormat="0" applyAlignment="0" applyProtection="0">
      <alignment vertical="center"/>
    </xf>
    <xf numFmtId="0" fontId="33" fillId="4" borderId="8" applyNumberFormat="0" applyAlignment="0" applyProtection="0">
      <alignment vertical="center"/>
    </xf>
    <xf numFmtId="0" fontId="34" fillId="5" borderId="10" applyNumberFormat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Protection="1">
      <alignment vertical="center"/>
      <protection locked="0"/>
    </xf>
    <xf numFmtId="176" fontId="2" fillId="0" borderId="0" xfId="0" applyNumberFormat="1" applyFont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NumberFormat="1" applyFont="1" applyFill="1" applyAlignment="1">
      <alignment horizontal="left" vertical="center"/>
    </xf>
    <xf numFmtId="0" fontId="6" fillId="0" borderId="0" xfId="0" applyNumberFormat="1" applyFont="1" applyFill="1" applyAlignment="1">
      <alignment horizontal="left" vertical="center"/>
    </xf>
    <xf numFmtId="0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left" vertical="center"/>
    </xf>
    <xf numFmtId="0" fontId="8" fillId="0" borderId="0" xfId="0" applyNumberFormat="1" applyFont="1" applyFill="1" applyAlignment="1" applyProtection="1">
      <alignment horizontal="center" vertical="center"/>
      <protection locked="0"/>
    </xf>
    <xf numFmtId="0" fontId="8" fillId="0" borderId="0" xfId="0" applyNumberFormat="1" applyFont="1" applyFill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177" fontId="14" fillId="0" borderId="2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177" fontId="14" fillId="0" borderId="4" xfId="0" applyNumberFormat="1" applyFont="1" applyFill="1" applyBorder="1" applyAlignment="1">
      <alignment horizontal="center" vertical="center" wrapText="1"/>
    </xf>
    <xf numFmtId="176" fontId="15" fillId="0" borderId="2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176" fontId="0" fillId="0" borderId="0" xfId="0" applyNumberFormat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2" fillId="0" borderId="0" xfId="0" applyNumberFormat="1" applyFont="1" applyAlignment="1">
      <alignment horizontal="left" vertical="center"/>
    </xf>
    <xf numFmtId="176" fontId="1" fillId="0" borderId="0" xfId="0" applyNumberFormat="1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wrapText="1"/>
    </xf>
    <xf numFmtId="176" fontId="0" fillId="0" borderId="0" xfId="0" applyNumberFormat="1" applyFont="1">
      <alignment vertical="center"/>
    </xf>
    <xf numFmtId="0" fontId="0" fillId="0" borderId="1" xfId="0" applyBorder="1">
      <alignment vertical="center"/>
    </xf>
    <xf numFmtId="0" fontId="0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8" fillId="0" borderId="0" xfId="0" applyFont="1">
      <alignment vertical="center"/>
    </xf>
    <xf numFmtId="0" fontId="17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8" fillId="0" borderId="1" xfId="0" applyNumberFormat="1" applyFont="1" applyFill="1" applyBorder="1" applyAlignment="1">
      <alignment horizontal="center" vertical="center" wrapText="1"/>
    </xf>
    <xf numFmtId="176" fontId="21" fillId="0" borderId="0" xfId="0" applyNumberFormat="1" applyFont="1" applyAlignment="1">
      <alignment horizontal="center" vertical="center"/>
    </xf>
    <xf numFmtId="176" fontId="16" fillId="0" borderId="0" xfId="0" applyNumberFormat="1" applyFont="1">
      <alignment vertical="center"/>
    </xf>
    <xf numFmtId="176" fontId="22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176" fontId="10" fillId="0" borderId="0" xfId="0" applyNumberFormat="1" applyFont="1" applyAlignment="1">
      <alignment horizontal="left" vertical="center"/>
    </xf>
    <xf numFmtId="176" fontId="8" fillId="0" borderId="0" xfId="0" applyNumberFormat="1" applyFont="1">
      <alignment vertical="center"/>
    </xf>
    <xf numFmtId="176" fontId="17" fillId="0" borderId="0" xfId="0" applyNumberFormat="1" applyFont="1" applyAlignment="1">
      <alignment horizontal="center" vertical="center"/>
    </xf>
    <xf numFmtId="176" fontId="17" fillId="0" borderId="0" xfId="0" applyNumberFormat="1" applyFont="1">
      <alignment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FFFFFF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showZeros="0" tabSelected="1" view="pageBreakPreview" zoomScaleNormal="100" workbookViewId="0">
      <selection activeCell="I33" sqref="I33"/>
    </sheetView>
  </sheetViews>
  <sheetFormatPr defaultColWidth="9" defaultRowHeight="13.5"/>
  <cols>
    <col min="1" max="1" width="6.625" customWidth="1"/>
    <col min="2" max="2" width="16.5" customWidth="1"/>
    <col min="3" max="3" width="4.375" customWidth="1"/>
    <col min="4" max="4" width="8.625" style="5" customWidth="1"/>
    <col min="5" max="5" width="12" style="5" customWidth="1"/>
    <col min="6" max="6" width="10.5" style="5" customWidth="1"/>
    <col min="7" max="7" width="7.875" style="6" customWidth="1"/>
    <col min="8" max="8" width="10.25" customWidth="1"/>
    <col min="9" max="9" width="26.5" customWidth="1"/>
    <col min="10" max="10" width="14.125" style="7" hidden="1" customWidth="1"/>
    <col min="11" max="11" width="9" style="7" hidden="1" customWidth="1"/>
    <col min="12" max="12" width="11.5" style="7" hidden="1" customWidth="1"/>
    <col min="13" max="13" width="12.625" style="7" hidden="1" customWidth="1"/>
    <col min="14" max="14" width="13.75" style="5" hidden="1" customWidth="1"/>
    <col min="15" max="18" width="9" hidden="1" customWidth="1"/>
    <col min="19" max="19" width="11.5" hidden="1" customWidth="1"/>
  </cols>
  <sheetData>
    <row r="1" ht="20.25" spans="1:9">
      <c r="A1" s="8" t="s">
        <v>0</v>
      </c>
      <c r="B1" s="8"/>
      <c r="C1" s="9"/>
      <c r="D1" s="10"/>
      <c r="E1" s="10"/>
      <c r="F1" s="10"/>
      <c r="G1" s="11"/>
      <c r="H1" s="9"/>
      <c r="I1" s="9"/>
    </row>
    <row r="2" ht="19" customHeight="1" spans="1:9">
      <c r="A2" s="12" t="s">
        <v>1</v>
      </c>
      <c r="B2" s="13"/>
      <c r="C2" s="14"/>
      <c r="D2" s="15"/>
      <c r="E2" s="15"/>
      <c r="F2" s="15"/>
      <c r="G2" s="16"/>
      <c r="H2" s="17"/>
      <c r="I2" s="17"/>
    </row>
    <row r="3" ht="31" customHeight="1" spans="1:9">
      <c r="A3" s="18" t="s">
        <v>2</v>
      </c>
      <c r="B3" s="18" t="s">
        <v>3</v>
      </c>
      <c r="C3" s="18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1" t="s">
        <v>9</v>
      </c>
      <c r="I3" s="21" t="s">
        <v>10</v>
      </c>
    </row>
    <row r="4" ht="22.5" spans="1:9">
      <c r="A4" s="22">
        <v>1</v>
      </c>
      <c r="B4" s="23" t="s">
        <v>11</v>
      </c>
      <c r="C4" s="23" t="s">
        <v>12</v>
      </c>
      <c r="D4" s="19">
        <v>80</v>
      </c>
      <c r="E4" s="19">
        <v>150</v>
      </c>
      <c r="F4" s="19">
        <f t="shared" ref="F4:F7" si="0">ROUND(D4*E4,2)</f>
        <v>12000</v>
      </c>
      <c r="G4" s="24"/>
      <c r="H4" s="25">
        <f>D4*G4</f>
        <v>0</v>
      </c>
      <c r="I4" s="42" t="s">
        <v>13</v>
      </c>
    </row>
    <row r="5" ht="33.75" spans="1:9">
      <c r="A5" s="22">
        <v>2</v>
      </c>
      <c r="B5" s="23" t="s">
        <v>14</v>
      </c>
      <c r="C5" s="23" t="s">
        <v>15</v>
      </c>
      <c r="D5" s="19">
        <v>6</v>
      </c>
      <c r="E5" s="19">
        <v>3600</v>
      </c>
      <c r="F5" s="19">
        <f t="shared" si="0"/>
        <v>21600</v>
      </c>
      <c r="G5" s="20"/>
      <c r="H5" s="25">
        <f t="shared" ref="H5:H35" si="1">D5*G5</f>
        <v>0</v>
      </c>
      <c r="I5" s="21" t="s">
        <v>16</v>
      </c>
    </row>
    <row r="6" ht="22.5" spans="1:9">
      <c r="A6" s="22">
        <v>3</v>
      </c>
      <c r="B6" s="23" t="s">
        <v>17</v>
      </c>
      <c r="C6" s="23" t="s">
        <v>18</v>
      </c>
      <c r="D6" s="19">
        <v>15</v>
      </c>
      <c r="E6" s="19">
        <v>1600</v>
      </c>
      <c r="F6" s="19">
        <f t="shared" si="0"/>
        <v>24000</v>
      </c>
      <c r="G6" s="20"/>
      <c r="H6" s="25">
        <f t="shared" si="1"/>
        <v>0</v>
      </c>
      <c r="I6" s="21" t="s">
        <v>19</v>
      </c>
    </row>
    <row r="7" customFormat="1" ht="22.5" spans="1:14">
      <c r="A7" s="22">
        <v>4</v>
      </c>
      <c r="B7" s="23" t="s">
        <v>20</v>
      </c>
      <c r="C7" s="23" t="s">
        <v>18</v>
      </c>
      <c r="D7" s="19">
        <v>15</v>
      </c>
      <c r="E7" s="19">
        <v>11000</v>
      </c>
      <c r="F7" s="19">
        <f t="shared" si="0"/>
        <v>165000</v>
      </c>
      <c r="G7" s="20"/>
      <c r="H7" s="25">
        <f t="shared" si="1"/>
        <v>0</v>
      </c>
      <c r="I7" s="21" t="s">
        <v>19</v>
      </c>
      <c r="J7" s="7"/>
      <c r="K7" s="7"/>
      <c r="L7" s="7"/>
      <c r="M7" s="7"/>
      <c r="N7" s="5"/>
    </row>
    <row r="8" s="51" customFormat="1" ht="22.5" spans="1:14">
      <c r="A8" s="55" t="s">
        <v>21</v>
      </c>
      <c r="B8" s="56" t="s">
        <v>22</v>
      </c>
      <c r="C8" s="57"/>
      <c r="D8" s="19"/>
      <c r="E8" s="19"/>
      <c r="F8" s="58"/>
      <c r="G8" s="59"/>
      <c r="H8" s="25">
        <f t="shared" si="1"/>
        <v>0</v>
      </c>
      <c r="I8" s="67"/>
      <c r="J8" s="68"/>
      <c r="K8" s="68"/>
      <c r="L8" s="68"/>
      <c r="M8" s="68"/>
      <c r="N8" s="69"/>
    </row>
    <row r="9" ht="33.75" spans="1:16">
      <c r="A9" s="22" t="s">
        <v>23</v>
      </c>
      <c r="B9" s="23" t="s">
        <v>24</v>
      </c>
      <c r="C9" s="23" t="s">
        <v>25</v>
      </c>
      <c r="D9" s="19">
        <v>13</v>
      </c>
      <c r="E9" s="19">
        <v>140</v>
      </c>
      <c r="F9" s="19">
        <f>ROUND(D9*E9,2)</f>
        <v>1820</v>
      </c>
      <c r="G9" s="20"/>
      <c r="H9" s="25">
        <f t="shared" si="1"/>
        <v>0</v>
      </c>
      <c r="I9" s="21" t="s">
        <v>26</v>
      </c>
      <c r="J9" s="70" t="s">
        <v>27</v>
      </c>
      <c r="K9" s="7">
        <f>50*20</f>
        <v>1000</v>
      </c>
      <c r="P9" t="s">
        <v>28</v>
      </c>
    </row>
    <row r="10" s="51" customFormat="1" spans="1:14">
      <c r="A10" s="55">
        <v>211</v>
      </c>
      <c r="B10" s="57" t="s">
        <v>29</v>
      </c>
      <c r="C10" s="57"/>
      <c r="D10" s="19"/>
      <c r="E10" s="19"/>
      <c r="F10" s="58"/>
      <c r="G10" s="59"/>
      <c r="H10" s="25">
        <f t="shared" si="1"/>
        <v>0</v>
      </c>
      <c r="I10" s="67"/>
      <c r="J10" s="68"/>
      <c r="K10" s="68"/>
      <c r="L10" s="68"/>
      <c r="M10" s="68"/>
      <c r="N10" s="69"/>
    </row>
    <row r="11" ht="33.75" spans="1:9">
      <c r="A11" s="22" t="s">
        <v>30</v>
      </c>
      <c r="B11" s="23" t="s">
        <v>31</v>
      </c>
      <c r="C11" s="23" t="s">
        <v>25</v>
      </c>
      <c r="D11" s="19">
        <v>1354</v>
      </c>
      <c r="E11" s="19">
        <v>18</v>
      </c>
      <c r="F11" s="19">
        <f>ROUND(D11*E11,2)</f>
        <v>24372</v>
      </c>
      <c r="G11" s="27"/>
      <c r="H11" s="25">
        <f t="shared" si="1"/>
        <v>0</v>
      </c>
      <c r="I11" s="27" t="s">
        <v>32</v>
      </c>
    </row>
    <row r="12" ht="33.75" spans="1:13">
      <c r="A12" s="23" t="s">
        <v>33</v>
      </c>
      <c r="B12" s="23" t="s">
        <v>34</v>
      </c>
      <c r="C12" s="26" t="s">
        <v>25</v>
      </c>
      <c r="D12" s="19">
        <v>3777</v>
      </c>
      <c r="E12" s="19">
        <v>35</v>
      </c>
      <c r="F12" s="19">
        <f>ROUND(D12*E12,2)</f>
        <v>132195</v>
      </c>
      <c r="G12" s="27"/>
      <c r="H12" s="25">
        <f t="shared" si="1"/>
        <v>0</v>
      </c>
      <c r="I12" s="27" t="s">
        <v>32</v>
      </c>
      <c r="M12" s="7">
        <f>5777*35</f>
        <v>202195</v>
      </c>
    </row>
    <row r="13" ht="56.25" spans="1:15">
      <c r="A13" s="23" t="s">
        <v>35</v>
      </c>
      <c r="B13" s="23" t="s">
        <v>36</v>
      </c>
      <c r="C13" s="26" t="s">
        <v>37</v>
      </c>
      <c r="D13" s="19">
        <f>D12+D11</f>
        <v>5131</v>
      </c>
      <c r="E13" s="19">
        <v>1</v>
      </c>
      <c r="F13" s="19">
        <f>ROUND(D13*E13,2)</f>
        <v>5131</v>
      </c>
      <c r="G13" s="27"/>
      <c r="H13" s="25">
        <f t="shared" si="1"/>
        <v>0</v>
      </c>
      <c r="I13" s="27" t="s">
        <v>38</v>
      </c>
      <c r="O13" s="43"/>
    </row>
    <row r="14" s="51" customFormat="1" spans="1:15">
      <c r="A14" s="57">
        <v>214</v>
      </c>
      <c r="B14" s="57" t="s">
        <v>39</v>
      </c>
      <c r="C14" s="60"/>
      <c r="D14" s="19"/>
      <c r="E14" s="19"/>
      <c r="F14" s="58"/>
      <c r="G14" s="56"/>
      <c r="H14" s="25">
        <f t="shared" si="1"/>
        <v>0</v>
      </c>
      <c r="I14" s="56"/>
      <c r="J14" s="68"/>
      <c r="K14" s="68"/>
      <c r="L14" s="68"/>
      <c r="M14" s="68"/>
      <c r="N14" s="69"/>
      <c r="O14" s="71"/>
    </row>
    <row r="15" ht="56.25" spans="1:15">
      <c r="A15" s="23" t="s">
        <v>40</v>
      </c>
      <c r="B15" s="23" t="s">
        <v>41</v>
      </c>
      <c r="C15" s="26" t="s">
        <v>25</v>
      </c>
      <c r="D15" s="19">
        <v>136.7</v>
      </c>
      <c r="E15" s="19">
        <v>270</v>
      </c>
      <c r="F15" s="19">
        <f t="shared" ref="F15:F28" si="2">ROUND(D15*E15,2)</f>
        <v>36909</v>
      </c>
      <c r="G15" s="27"/>
      <c r="H15" s="25">
        <f t="shared" si="1"/>
        <v>0</v>
      </c>
      <c r="I15" s="27" t="s">
        <v>42</v>
      </c>
      <c r="O15" s="43"/>
    </row>
    <row r="16" ht="67.5" spans="1:15">
      <c r="A16" s="23" t="s">
        <v>43</v>
      </c>
      <c r="B16" s="23" t="s">
        <v>44</v>
      </c>
      <c r="C16" s="26" t="s">
        <v>25</v>
      </c>
      <c r="D16" s="19">
        <v>30.2</v>
      </c>
      <c r="E16" s="19">
        <v>150</v>
      </c>
      <c r="F16" s="19">
        <f t="shared" si="2"/>
        <v>4530</v>
      </c>
      <c r="G16" s="27"/>
      <c r="H16" s="25">
        <f t="shared" si="1"/>
        <v>0</v>
      </c>
      <c r="I16" s="27" t="s">
        <v>45</v>
      </c>
      <c r="O16" s="43"/>
    </row>
    <row r="17" s="51" customFormat="1" spans="1:15">
      <c r="A17" s="57">
        <v>215</v>
      </c>
      <c r="B17" s="56" t="s">
        <v>46</v>
      </c>
      <c r="C17" s="60"/>
      <c r="D17" s="19"/>
      <c r="E17" s="19"/>
      <c r="F17" s="58"/>
      <c r="G17" s="56"/>
      <c r="H17" s="25">
        <f t="shared" si="1"/>
        <v>0</v>
      </c>
      <c r="I17" s="56"/>
      <c r="J17" s="68"/>
      <c r="K17" s="68"/>
      <c r="L17" s="68"/>
      <c r="M17" s="68"/>
      <c r="N17" s="69"/>
      <c r="O17" s="71"/>
    </row>
    <row r="18" ht="67.5" spans="1:11">
      <c r="A18" s="23" t="s">
        <v>47</v>
      </c>
      <c r="B18" s="23" t="s">
        <v>48</v>
      </c>
      <c r="C18" s="28" t="s">
        <v>49</v>
      </c>
      <c r="D18" s="19">
        <v>45958</v>
      </c>
      <c r="E18" s="19">
        <v>0.7</v>
      </c>
      <c r="F18" s="19">
        <f t="shared" si="2"/>
        <v>32170.6</v>
      </c>
      <c r="G18" s="26"/>
      <c r="H18" s="25">
        <f t="shared" si="1"/>
        <v>0</v>
      </c>
      <c r="I18" s="26" t="s">
        <v>50</v>
      </c>
      <c r="J18" s="7">
        <f>7190+15213+23555</f>
        <v>45958</v>
      </c>
      <c r="K18" s="44"/>
    </row>
    <row r="19" customFormat="1" ht="67.5" spans="1:15">
      <c r="A19" s="29" t="s">
        <v>51</v>
      </c>
      <c r="B19" s="23" t="s">
        <v>52</v>
      </c>
      <c r="C19" s="28" t="s">
        <v>53</v>
      </c>
      <c r="D19" s="19">
        <f>743+8701</f>
        <v>9444</v>
      </c>
      <c r="E19" s="19">
        <v>45</v>
      </c>
      <c r="F19" s="19">
        <f t="shared" si="2"/>
        <v>424980</v>
      </c>
      <c r="G19" s="26"/>
      <c r="H19" s="25">
        <f t="shared" si="1"/>
        <v>0</v>
      </c>
      <c r="I19" s="26" t="s">
        <v>54</v>
      </c>
      <c r="J19" s="7">
        <f>34254+1462</f>
        <v>35716</v>
      </c>
      <c r="K19" s="44"/>
      <c r="L19" s="7">
        <f>85*4.5</f>
        <v>382.5</v>
      </c>
      <c r="M19" s="7">
        <f>34254/3.8562</f>
        <v>8882.83802707329</v>
      </c>
      <c r="N19" s="5">
        <f>M19/9</f>
        <v>986.982003008143</v>
      </c>
      <c r="O19">
        <f>25*25*0.00617</f>
        <v>3.85625</v>
      </c>
    </row>
    <row r="20" customFormat="1" ht="45" spans="1:14">
      <c r="A20" s="29" t="s">
        <v>55</v>
      </c>
      <c r="B20" s="31" t="s">
        <v>56</v>
      </c>
      <c r="C20" s="23" t="s">
        <v>53</v>
      </c>
      <c r="D20" s="19">
        <v>382</v>
      </c>
      <c r="E20" s="19">
        <v>35</v>
      </c>
      <c r="F20" s="19">
        <f t="shared" si="2"/>
        <v>13370</v>
      </c>
      <c r="G20" s="26"/>
      <c r="H20" s="25">
        <f t="shared" si="1"/>
        <v>0</v>
      </c>
      <c r="I20" s="26" t="s">
        <v>57</v>
      </c>
      <c r="J20" s="7"/>
      <c r="K20" s="44"/>
      <c r="L20" s="7"/>
      <c r="M20" s="7"/>
      <c r="N20" s="5"/>
    </row>
    <row r="21" s="52" customFormat="1" ht="56.25" spans="1:14">
      <c r="A21" s="29" t="s">
        <v>58</v>
      </c>
      <c r="B21" s="23" t="s">
        <v>59</v>
      </c>
      <c r="C21" s="26" t="s">
        <v>60</v>
      </c>
      <c r="D21" s="19">
        <v>602</v>
      </c>
      <c r="E21" s="19">
        <v>30</v>
      </c>
      <c r="F21" s="19">
        <f t="shared" si="2"/>
        <v>18060</v>
      </c>
      <c r="G21" s="27"/>
      <c r="H21" s="25">
        <f t="shared" si="1"/>
        <v>0</v>
      </c>
      <c r="I21" s="27" t="s">
        <v>61</v>
      </c>
      <c r="J21" s="72"/>
      <c r="K21" s="73"/>
      <c r="L21" s="72"/>
      <c r="M21" s="72"/>
      <c r="N21" s="74"/>
    </row>
    <row r="22" s="2" customFormat="1" ht="45" spans="1:14">
      <c r="A22" s="30" t="s">
        <v>62</v>
      </c>
      <c r="B22" s="31" t="s">
        <v>63</v>
      </c>
      <c r="C22" s="26" t="s">
        <v>25</v>
      </c>
      <c r="D22" s="19">
        <v>420</v>
      </c>
      <c r="E22" s="19">
        <v>240</v>
      </c>
      <c r="F22" s="19">
        <f t="shared" si="2"/>
        <v>100800</v>
      </c>
      <c r="G22" s="32"/>
      <c r="H22" s="25">
        <f t="shared" si="1"/>
        <v>0</v>
      </c>
      <c r="I22" s="32" t="s">
        <v>64</v>
      </c>
      <c r="J22" s="45"/>
      <c r="K22" s="45"/>
      <c r="L22" s="45"/>
      <c r="M22" s="45"/>
      <c r="N22" s="46"/>
    </row>
    <row r="23" s="2" customFormat="1" ht="78.75" spans="1:14">
      <c r="A23" s="30" t="s">
        <v>65</v>
      </c>
      <c r="B23" s="31" t="s">
        <v>66</v>
      </c>
      <c r="C23" s="26" t="s">
        <v>25</v>
      </c>
      <c r="D23" s="19">
        <v>126.6</v>
      </c>
      <c r="E23" s="19">
        <v>420</v>
      </c>
      <c r="F23" s="19">
        <f t="shared" si="2"/>
        <v>53172</v>
      </c>
      <c r="G23" s="26"/>
      <c r="H23" s="25">
        <f t="shared" si="1"/>
        <v>0</v>
      </c>
      <c r="I23" s="26" t="s">
        <v>67</v>
      </c>
      <c r="J23" s="45"/>
      <c r="K23" s="45"/>
      <c r="L23" s="45"/>
      <c r="M23" s="45"/>
      <c r="N23" s="46"/>
    </row>
    <row r="24" s="2" customFormat="1" ht="78.75" spans="1:14">
      <c r="A24" s="61" t="s">
        <v>68</v>
      </c>
      <c r="B24" s="31" t="s">
        <v>69</v>
      </c>
      <c r="C24" s="28" t="s">
        <v>53</v>
      </c>
      <c r="D24" s="19">
        <f>841+256</f>
        <v>1097</v>
      </c>
      <c r="E24" s="19">
        <v>105</v>
      </c>
      <c r="F24" s="19">
        <f t="shared" si="2"/>
        <v>115185</v>
      </c>
      <c r="G24" s="26"/>
      <c r="H24" s="25">
        <f t="shared" si="1"/>
        <v>0</v>
      </c>
      <c r="I24" s="26" t="s">
        <v>70</v>
      </c>
      <c r="J24" s="45"/>
      <c r="K24" s="45"/>
      <c r="L24" s="45"/>
      <c r="M24" s="45"/>
      <c r="N24" s="46"/>
    </row>
    <row r="25" s="2" customFormat="1" ht="33.75" spans="1:14">
      <c r="A25" s="61" t="s">
        <v>71</v>
      </c>
      <c r="B25" s="31" t="s">
        <v>72</v>
      </c>
      <c r="C25" s="26" t="s">
        <v>25</v>
      </c>
      <c r="D25" s="19">
        <v>130.2</v>
      </c>
      <c r="E25" s="19">
        <v>250</v>
      </c>
      <c r="F25" s="19">
        <f t="shared" si="2"/>
        <v>32550</v>
      </c>
      <c r="G25" s="27"/>
      <c r="H25" s="25">
        <f t="shared" si="1"/>
        <v>0</v>
      </c>
      <c r="I25" s="27" t="s">
        <v>73</v>
      </c>
      <c r="J25" s="45"/>
      <c r="K25" s="45"/>
      <c r="L25" s="45"/>
      <c r="M25" s="45"/>
      <c r="N25" s="46"/>
    </row>
    <row r="26" s="2" customFormat="1" ht="33.75" spans="1:14">
      <c r="A26" s="61" t="s">
        <v>74</v>
      </c>
      <c r="B26" s="31" t="s">
        <v>75</v>
      </c>
      <c r="C26" s="26" t="s">
        <v>25</v>
      </c>
      <c r="D26" s="19">
        <v>17.3</v>
      </c>
      <c r="E26" s="19">
        <v>260</v>
      </c>
      <c r="F26" s="19">
        <f t="shared" si="2"/>
        <v>4498</v>
      </c>
      <c r="G26" s="27"/>
      <c r="H26" s="25">
        <f t="shared" si="1"/>
        <v>0</v>
      </c>
      <c r="I26" s="27" t="s">
        <v>73</v>
      </c>
      <c r="J26" s="45"/>
      <c r="K26" s="45"/>
      <c r="L26" s="45"/>
      <c r="M26" s="45"/>
      <c r="N26" s="46"/>
    </row>
    <row r="27" s="2" customFormat="1" ht="67.5" spans="1:14">
      <c r="A27" s="30" t="s">
        <v>76</v>
      </c>
      <c r="B27" s="31" t="s">
        <v>77</v>
      </c>
      <c r="C27" s="26" t="s">
        <v>60</v>
      </c>
      <c r="D27" s="19">
        <v>2908</v>
      </c>
      <c r="E27" s="19">
        <v>30</v>
      </c>
      <c r="F27" s="19">
        <f t="shared" si="2"/>
        <v>87240</v>
      </c>
      <c r="G27" s="26"/>
      <c r="H27" s="25">
        <f t="shared" si="1"/>
        <v>0</v>
      </c>
      <c r="I27" s="26" t="s">
        <v>78</v>
      </c>
      <c r="J27" s="45"/>
      <c r="K27" s="45"/>
      <c r="L27" s="45"/>
      <c r="M27" s="45"/>
      <c r="N27" s="46"/>
    </row>
    <row r="28" s="2" customFormat="1" ht="67.5" spans="1:14">
      <c r="A28" s="30" t="s">
        <v>55</v>
      </c>
      <c r="B28" s="31" t="s">
        <v>79</v>
      </c>
      <c r="C28" s="26" t="s">
        <v>53</v>
      </c>
      <c r="D28" s="19">
        <f>498+934</f>
        <v>1432</v>
      </c>
      <c r="E28" s="19">
        <v>45</v>
      </c>
      <c r="F28" s="19">
        <f t="shared" si="2"/>
        <v>64440</v>
      </c>
      <c r="G28" s="26"/>
      <c r="H28" s="25">
        <f t="shared" si="1"/>
        <v>0</v>
      </c>
      <c r="I28" s="26" t="s">
        <v>80</v>
      </c>
      <c r="J28" s="45"/>
      <c r="K28" s="45"/>
      <c r="L28" s="45"/>
      <c r="M28" s="45"/>
      <c r="N28" s="46"/>
    </row>
    <row r="29" s="53" customFormat="1" ht="12" spans="1:14">
      <c r="A29" s="62" t="s">
        <v>81</v>
      </c>
      <c r="B29" s="63" t="s">
        <v>82</v>
      </c>
      <c r="C29" s="57"/>
      <c r="D29" s="19"/>
      <c r="E29" s="19"/>
      <c r="F29" s="58"/>
      <c r="G29" s="60"/>
      <c r="H29" s="25">
        <f t="shared" si="1"/>
        <v>0</v>
      </c>
      <c r="I29" s="60"/>
      <c r="J29" s="75"/>
      <c r="K29" s="75"/>
      <c r="L29" s="75"/>
      <c r="M29" s="75"/>
      <c r="N29" s="76"/>
    </row>
    <row r="30" s="2" customFormat="1" ht="78.75" spans="1:14">
      <c r="A30" s="30" t="s">
        <v>83</v>
      </c>
      <c r="B30" s="31" t="s">
        <v>84</v>
      </c>
      <c r="C30" s="23" t="s">
        <v>25</v>
      </c>
      <c r="D30" s="19">
        <v>358</v>
      </c>
      <c r="E30" s="19">
        <v>140</v>
      </c>
      <c r="F30" s="19">
        <f>ROUND(D30*E30,2)</f>
        <v>50120</v>
      </c>
      <c r="G30" s="26"/>
      <c r="H30" s="25">
        <f t="shared" si="1"/>
        <v>0</v>
      </c>
      <c r="I30" s="26" t="s">
        <v>85</v>
      </c>
      <c r="J30" s="45"/>
      <c r="K30" s="45"/>
      <c r="L30" s="45"/>
      <c r="M30" s="45"/>
      <c r="N30" s="46"/>
    </row>
    <row r="31" s="53" customFormat="1" ht="12" spans="1:14">
      <c r="A31" s="62">
        <v>224</v>
      </c>
      <c r="B31" s="63" t="s">
        <v>86</v>
      </c>
      <c r="C31" s="57"/>
      <c r="D31" s="19"/>
      <c r="E31" s="19"/>
      <c r="F31" s="58"/>
      <c r="G31" s="60"/>
      <c r="H31" s="25">
        <f t="shared" si="1"/>
        <v>0</v>
      </c>
      <c r="I31" s="60"/>
      <c r="J31" s="75"/>
      <c r="K31" s="75"/>
      <c r="L31" s="75"/>
      <c r="M31" s="75"/>
      <c r="N31" s="76"/>
    </row>
    <row r="32" s="2" customFormat="1" ht="45" spans="1:14">
      <c r="A32" s="30" t="s">
        <v>87</v>
      </c>
      <c r="B32" s="31" t="s">
        <v>88</v>
      </c>
      <c r="C32" s="23" t="s">
        <v>25</v>
      </c>
      <c r="D32" s="19">
        <v>16.2</v>
      </c>
      <c r="E32" s="19">
        <v>597</v>
      </c>
      <c r="F32" s="19">
        <f>ROUND(D32*E32,2)</f>
        <v>9671.4</v>
      </c>
      <c r="G32" s="26"/>
      <c r="H32" s="25">
        <f t="shared" si="1"/>
        <v>0</v>
      </c>
      <c r="I32" s="26" t="s">
        <v>89</v>
      </c>
      <c r="J32" s="45"/>
      <c r="K32" s="45"/>
      <c r="L32" s="45"/>
      <c r="M32" s="45"/>
      <c r="N32" s="46"/>
    </row>
    <row r="33" s="2" customFormat="1" ht="56.25" spans="1:14">
      <c r="A33" s="30" t="s">
        <v>90</v>
      </c>
      <c r="B33" s="31" t="s">
        <v>91</v>
      </c>
      <c r="C33" s="23" t="s">
        <v>53</v>
      </c>
      <c r="D33" s="19">
        <v>60</v>
      </c>
      <c r="E33" s="19">
        <v>30</v>
      </c>
      <c r="F33" s="19">
        <f>ROUND(D33*E33,2)</f>
        <v>1800</v>
      </c>
      <c r="G33" s="64"/>
      <c r="H33" s="25">
        <f t="shared" si="1"/>
        <v>0</v>
      </c>
      <c r="I33" s="77" t="s">
        <v>92</v>
      </c>
      <c r="J33" s="45"/>
      <c r="K33" s="45"/>
      <c r="L33" s="45"/>
      <c r="M33" s="45"/>
      <c r="N33" s="46"/>
    </row>
    <row r="34" s="54" customFormat="1" ht="45" spans="1:14">
      <c r="A34" s="65" t="s">
        <v>65</v>
      </c>
      <c r="B34" s="65" t="s">
        <v>93</v>
      </c>
      <c r="C34" s="27" t="s">
        <v>53</v>
      </c>
      <c r="D34" s="19">
        <v>280</v>
      </c>
      <c r="E34" s="19">
        <v>98</v>
      </c>
      <c r="F34" s="19">
        <f>ROUND(D34*E34,2)</f>
        <v>27440</v>
      </c>
      <c r="G34" s="66"/>
      <c r="H34" s="25">
        <f t="shared" si="1"/>
        <v>0</v>
      </c>
      <c r="I34" s="78" t="s">
        <v>94</v>
      </c>
      <c r="J34" s="72"/>
      <c r="K34" s="72"/>
      <c r="L34" s="72"/>
      <c r="M34" s="72"/>
      <c r="N34" s="72"/>
    </row>
    <row r="35" ht="23" customHeight="1" spans="1:21">
      <c r="A35" s="35" t="s">
        <v>95</v>
      </c>
      <c r="B35" s="36"/>
      <c r="C35" s="36"/>
      <c r="D35" s="37"/>
      <c r="E35" s="38">
        <f>SUM(F4:F34)</f>
        <v>1463054</v>
      </c>
      <c r="F35" s="39"/>
      <c r="G35" s="40"/>
      <c r="H35" s="25">
        <f>SUM(H4:H34)</f>
        <v>0</v>
      </c>
      <c r="I35" s="49"/>
      <c r="T35" s="43"/>
      <c r="U35" s="43"/>
    </row>
    <row r="36" spans="20:21">
      <c r="T36" s="43"/>
      <c r="U36" s="43"/>
    </row>
    <row r="37" spans="20:21">
      <c r="T37" s="43"/>
      <c r="U37" s="43"/>
    </row>
    <row r="38" spans="20:21">
      <c r="T38" s="43"/>
      <c r="U38" s="43"/>
    </row>
    <row r="39" spans="20:21">
      <c r="T39" s="43"/>
      <c r="U39" s="43"/>
    </row>
  </sheetData>
  <sheetProtection algorithmName="SHA-512" hashValue="81wgBioI7cXR9S3yKp9J6Ck7AaKRbrwAXdTyyGMgV0/CYSTNxibzPK4sFDgPilCrQQaVYGB8tkZjnwH/X6Q7VQ==" saltValue="YLoyiBqF18FEz50uT8lllQ==" spinCount="100000" sheet="1" objects="1"/>
  <mergeCells count="3">
    <mergeCell ref="A1:I1"/>
    <mergeCell ref="A35:D35"/>
    <mergeCell ref="E35:F35"/>
  </mergeCells>
  <conditionalFormatting sqref="B11">
    <cfRule type="cellIs" dxfId="0" priority="16" operator="equal">
      <formula>0</formula>
    </cfRule>
  </conditionalFormatting>
  <conditionalFormatting sqref="I11">
    <cfRule type="cellIs" dxfId="0" priority="22" operator="equal">
      <formula>0</formula>
    </cfRule>
  </conditionalFormatting>
  <conditionalFormatting sqref="I18">
    <cfRule type="cellIs" dxfId="0" priority="13" operator="equal">
      <formula>0</formula>
    </cfRule>
  </conditionalFormatting>
  <conditionalFormatting sqref="I19">
    <cfRule type="cellIs" dxfId="0" priority="12" operator="equal">
      <formula>0</formula>
    </cfRule>
  </conditionalFormatting>
  <conditionalFormatting sqref="C20">
    <cfRule type="cellIs" dxfId="0" priority="6" operator="equal">
      <formula>0</formula>
    </cfRule>
  </conditionalFormatting>
  <conditionalFormatting sqref="C21">
    <cfRule type="cellIs" dxfId="0" priority="19" operator="equal">
      <formula>0</formula>
    </cfRule>
  </conditionalFormatting>
  <conditionalFormatting sqref="C22">
    <cfRule type="cellIs" dxfId="0" priority="1" operator="equal">
      <formula>0</formula>
    </cfRule>
  </conditionalFormatting>
  <conditionalFormatting sqref="I24">
    <cfRule type="cellIs" dxfId="0" priority="9" operator="equal">
      <formula>0</formula>
    </cfRule>
  </conditionalFormatting>
  <conditionalFormatting sqref="I25">
    <cfRule type="cellIs" dxfId="0" priority="8" operator="equal">
      <formula>0</formula>
    </cfRule>
  </conditionalFormatting>
  <conditionalFormatting sqref="B26">
    <cfRule type="cellIs" dxfId="0" priority="4" operator="equal">
      <formula>0</formula>
    </cfRule>
  </conditionalFormatting>
  <conditionalFormatting sqref="C26">
    <cfRule type="cellIs" dxfId="0" priority="3" operator="equal">
      <formula>0</formula>
    </cfRule>
  </conditionalFormatting>
  <conditionalFormatting sqref="I26">
    <cfRule type="cellIs" dxfId="0" priority="2" operator="equal">
      <formula>0</formula>
    </cfRule>
  </conditionalFormatting>
  <conditionalFormatting sqref="I32">
    <cfRule type="cellIs" dxfId="0" priority="18" operator="equal">
      <formula>0</formula>
    </cfRule>
  </conditionalFormatting>
  <conditionalFormatting sqref="I33">
    <cfRule type="cellIs" dxfId="0" priority="5" operator="equal">
      <formula>0</formula>
    </cfRule>
  </conditionalFormatting>
  <conditionalFormatting sqref="A4:B10 A11">
    <cfRule type="cellIs" dxfId="0" priority="30" operator="equal">
      <formula>0</formula>
    </cfRule>
  </conditionalFormatting>
  <conditionalFormatting sqref="A12:B19 A20 A21:B25 A26 A27:B33 I12:I17 I29 I31 I21">
    <cfRule type="cellIs" dxfId="0" priority="27" operator="equal">
      <formula>0</formula>
    </cfRule>
  </conditionalFormatting>
  <conditionalFormatting sqref="C12:C19 C23:C25 C27:C34">
    <cfRule type="cellIs" dxfId="0" priority="24" operator="equal">
      <formula>0</formula>
    </cfRule>
  </conditionalFormatting>
  <conditionalFormatting sqref="B20 I20">
    <cfRule type="cellIs" dxfId="0" priority="7" operator="equal">
      <formula>0</formula>
    </cfRule>
  </conditionalFormatting>
  <pageMargins left="0.75" right="0.354166666666667" top="1" bottom="0.66875" header="0.5" footer="0.5"/>
  <pageSetup paperSize="9" scale="90" orientation="portrait"/>
  <headerFooter/>
  <ignoredErrors>
    <ignoredError sqref="D24 D19 D28 D13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5"/>
  <sheetViews>
    <sheetView showZeros="0" view="pageBreakPreview" zoomScaleNormal="100" workbookViewId="0">
      <selection activeCell="I20" sqref="I20"/>
    </sheetView>
  </sheetViews>
  <sheetFormatPr defaultColWidth="9" defaultRowHeight="13.5"/>
  <cols>
    <col min="1" max="1" width="6.375" customWidth="1"/>
    <col min="2" max="2" width="14.75" customWidth="1"/>
    <col min="3" max="3" width="4.375" customWidth="1"/>
    <col min="4" max="4" width="8.375" style="5" customWidth="1"/>
    <col min="5" max="5" width="12.5" style="5" customWidth="1"/>
    <col min="6" max="6" width="10" style="5" customWidth="1"/>
    <col min="7" max="7" width="8.625" style="6" customWidth="1"/>
    <col min="8" max="8" width="10.875" customWidth="1"/>
    <col min="9" max="9" width="26.5" customWidth="1"/>
    <col min="10" max="11" width="9" style="7" hidden="1" customWidth="1"/>
    <col min="12" max="12" width="11.5" style="7" hidden="1" customWidth="1"/>
    <col min="13" max="13" width="12.625" style="7" hidden="1" customWidth="1"/>
    <col min="14" max="14" width="9" style="5" hidden="1" customWidth="1"/>
    <col min="15" max="18" width="9" hidden="1" customWidth="1"/>
  </cols>
  <sheetData>
    <row r="1" ht="20.25" spans="1:9">
      <c r="A1" s="8" t="s">
        <v>0</v>
      </c>
      <c r="B1" s="8"/>
      <c r="C1" s="9"/>
      <c r="D1" s="10"/>
      <c r="E1" s="10"/>
      <c r="F1" s="10"/>
      <c r="G1" s="11"/>
      <c r="H1" s="9"/>
      <c r="I1" s="9"/>
    </row>
    <row r="2" ht="19" customHeight="1" spans="1:9">
      <c r="A2" s="12" t="s">
        <v>96</v>
      </c>
      <c r="B2" s="13"/>
      <c r="C2" s="14"/>
      <c r="D2" s="15"/>
      <c r="E2" s="15"/>
      <c r="F2" s="15"/>
      <c r="G2" s="16"/>
      <c r="H2" s="17"/>
      <c r="I2" s="17"/>
    </row>
    <row r="3" s="1" customFormat="1" ht="31" customHeight="1" spans="1:14">
      <c r="A3" s="18" t="s">
        <v>2</v>
      </c>
      <c r="B3" s="18" t="s">
        <v>3</v>
      </c>
      <c r="C3" s="18" t="s">
        <v>4</v>
      </c>
      <c r="D3" s="19" t="s">
        <v>5</v>
      </c>
      <c r="E3" s="19" t="s">
        <v>6</v>
      </c>
      <c r="F3" s="19" t="s">
        <v>7</v>
      </c>
      <c r="G3" s="20" t="s">
        <v>8</v>
      </c>
      <c r="H3" s="21" t="s">
        <v>9</v>
      </c>
      <c r="I3" s="21" t="s">
        <v>10</v>
      </c>
      <c r="N3" s="41"/>
    </row>
    <row r="4" ht="26" customHeight="1" spans="1:9">
      <c r="A4" s="22">
        <v>1</v>
      </c>
      <c r="B4" s="23" t="s">
        <v>11</v>
      </c>
      <c r="C4" s="23" t="s">
        <v>12</v>
      </c>
      <c r="D4" s="19">
        <v>30</v>
      </c>
      <c r="E4" s="19">
        <v>150</v>
      </c>
      <c r="F4" s="19">
        <f t="shared" ref="F4:F20" si="0">ROUND(D4*E4,2)</f>
        <v>4500</v>
      </c>
      <c r="G4" s="24"/>
      <c r="H4" s="25">
        <f>G4*D4</f>
        <v>0</v>
      </c>
      <c r="I4" s="42" t="s">
        <v>13</v>
      </c>
    </row>
    <row r="5" ht="48" customHeight="1" spans="1:9">
      <c r="A5" s="22">
        <v>2</v>
      </c>
      <c r="B5" s="23" t="s">
        <v>14</v>
      </c>
      <c r="C5" s="23" t="s">
        <v>15</v>
      </c>
      <c r="D5" s="19">
        <v>2</v>
      </c>
      <c r="E5" s="19">
        <v>3600</v>
      </c>
      <c r="F5" s="19">
        <f t="shared" si="0"/>
        <v>7200</v>
      </c>
      <c r="G5" s="20"/>
      <c r="H5" s="25">
        <f t="shared" ref="H5:H21" si="1">G5*D5</f>
        <v>0</v>
      </c>
      <c r="I5" s="21" t="s">
        <v>16</v>
      </c>
    </row>
    <row r="6" ht="26" customHeight="1" spans="1:9">
      <c r="A6" s="22">
        <v>3</v>
      </c>
      <c r="B6" s="23" t="s">
        <v>20</v>
      </c>
      <c r="C6" s="23" t="s">
        <v>18</v>
      </c>
      <c r="D6" s="19">
        <v>10</v>
      </c>
      <c r="E6" s="19">
        <v>11000</v>
      </c>
      <c r="F6" s="19">
        <f t="shared" si="0"/>
        <v>110000</v>
      </c>
      <c r="G6" s="20"/>
      <c r="H6" s="25">
        <f t="shared" si="1"/>
        <v>0</v>
      </c>
      <c r="I6" s="21" t="s">
        <v>19</v>
      </c>
    </row>
    <row r="7" ht="52" customHeight="1" spans="1:16">
      <c r="A7" s="23" t="s">
        <v>30</v>
      </c>
      <c r="B7" s="23" t="s">
        <v>34</v>
      </c>
      <c r="C7" s="26" t="s">
        <v>25</v>
      </c>
      <c r="D7" s="19">
        <f>1152+1950</f>
        <v>3102</v>
      </c>
      <c r="E7" s="19">
        <v>35</v>
      </c>
      <c r="F7" s="19">
        <f t="shared" si="0"/>
        <v>108570</v>
      </c>
      <c r="G7" s="27"/>
      <c r="H7" s="25">
        <f t="shared" si="1"/>
        <v>0</v>
      </c>
      <c r="I7" s="27" t="s">
        <v>97</v>
      </c>
      <c r="P7">
        <f>1629*35</f>
        <v>57015</v>
      </c>
    </row>
    <row r="8" ht="42" customHeight="1" spans="1:15">
      <c r="A8" s="23" t="s">
        <v>30</v>
      </c>
      <c r="B8" s="23" t="s">
        <v>98</v>
      </c>
      <c r="C8" s="26" t="s">
        <v>25</v>
      </c>
      <c r="D8" s="19">
        <v>265</v>
      </c>
      <c r="E8" s="19">
        <v>13</v>
      </c>
      <c r="F8" s="19">
        <f t="shared" si="0"/>
        <v>3445</v>
      </c>
      <c r="G8" s="27"/>
      <c r="H8" s="25">
        <f t="shared" si="1"/>
        <v>0</v>
      </c>
      <c r="I8" s="27" t="s">
        <v>97</v>
      </c>
      <c r="O8" s="43"/>
    </row>
    <row r="9" ht="66" customHeight="1" spans="1:15">
      <c r="A9" s="23" t="s">
        <v>35</v>
      </c>
      <c r="B9" s="23" t="s">
        <v>36</v>
      </c>
      <c r="C9" s="26" t="s">
        <v>37</v>
      </c>
      <c r="D9" s="19">
        <v>4996</v>
      </c>
      <c r="E9" s="19">
        <v>1</v>
      </c>
      <c r="F9" s="19">
        <f t="shared" si="0"/>
        <v>4996</v>
      </c>
      <c r="G9" s="27"/>
      <c r="H9" s="25">
        <f t="shared" si="1"/>
        <v>0</v>
      </c>
      <c r="I9" s="27" t="s">
        <v>99</v>
      </c>
      <c r="O9" s="43"/>
    </row>
    <row r="10" ht="85" customHeight="1" spans="1:11">
      <c r="A10" s="23" t="s">
        <v>76</v>
      </c>
      <c r="B10" s="23" t="s">
        <v>77</v>
      </c>
      <c r="C10" s="28" t="s">
        <v>100</v>
      </c>
      <c r="D10" s="19">
        <f>2179+3698</f>
        <v>5877</v>
      </c>
      <c r="E10" s="19">
        <v>30</v>
      </c>
      <c r="F10" s="19">
        <f t="shared" si="0"/>
        <v>176310</v>
      </c>
      <c r="G10" s="27"/>
      <c r="H10" s="25">
        <f t="shared" si="1"/>
        <v>0</v>
      </c>
      <c r="I10" s="27" t="s">
        <v>78</v>
      </c>
      <c r="J10" s="7">
        <f>D10/100*6*4</f>
        <v>1410.48</v>
      </c>
      <c r="K10" s="44" t="s">
        <v>101</v>
      </c>
    </row>
    <row r="11" customFormat="1" ht="85" customHeight="1" spans="1:14">
      <c r="A11" s="29" t="s">
        <v>55</v>
      </c>
      <c r="B11" s="23" t="s">
        <v>79</v>
      </c>
      <c r="C11" s="28" t="s">
        <v>53</v>
      </c>
      <c r="D11" s="19">
        <v>1410.48</v>
      </c>
      <c r="E11" s="19">
        <v>45</v>
      </c>
      <c r="F11" s="19">
        <f t="shared" si="0"/>
        <v>63471.6</v>
      </c>
      <c r="G11" s="27"/>
      <c r="H11" s="25">
        <f t="shared" si="1"/>
        <v>0</v>
      </c>
      <c r="I11" s="27" t="s">
        <v>80</v>
      </c>
      <c r="J11" s="7"/>
      <c r="K11" s="44"/>
      <c r="L11" s="7"/>
      <c r="M11" s="7"/>
      <c r="N11" s="5"/>
    </row>
    <row r="12" s="2" customFormat="1" ht="76" customHeight="1" spans="1:14">
      <c r="A12" s="30" t="s">
        <v>102</v>
      </c>
      <c r="B12" s="31" t="s">
        <v>103</v>
      </c>
      <c r="C12" s="26" t="s">
        <v>25</v>
      </c>
      <c r="D12" s="19">
        <v>146</v>
      </c>
      <c r="E12" s="19">
        <v>150</v>
      </c>
      <c r="F12" s="19">
        <f t="shared" si="0"/>
        <v>21900</v>
      </c>
      <c r="G12" s="32"/>
      <c r="H12" s="25">
        <f t="shared" si="1"/>
        <v>0</v>
      </c>
      <c r="I12" s="32" t="s">
        <v>104</v>
      </c>
      <c r="J12" s="45"/>
      <c r="K12" s="45"/>
      <c r="L12" s="45"/>
      <c r="M12" s="45"/>
      <c r="N12" s="46"/>
    </row>
    <row r="13" s="2" customFormat="1" ht="76" customHeight="1" spans="1:14">
      <c r="A13" s="30" t="s">
        <v>105</v>
      </c>
      <c r="B13" s="31" t="s">
        <v>106</v>
      </c>
      <c r="C13" s="23" t="s">
        <v>53</v>
      </c>
      <c r="D13" s="19">
        <v>360</v>
      </c>
      <c r="E13" s="19">
        <v>45</v>
      </c>
      <c r="F13" s="19">
        <f t="shared" si="0"/>
        <v>16200</v>
      </c>
      <c r="G13" s="32"/>
      <c r="H13" s="25">
        <f t="shared" si="1"/>
        <v>0</v>
      </c>
      <c r="I13" s="32" t="s">
        <v>54</v>
      </c>
      <c r="J13" s="45">
        <v>1739</v>
      </c>
      <c r="K13" s="45">
        <f>28*28*0.00617</f>
        <v>4.83728</v>
      </c>
      <c r="L13" s="45">
        <f>J13/K13</f>
        <v>359.499553468065</v>
      </c>
      <c r="M13" s="45">
        <f>J13/4.83</f>
        <v>360.041407867495</v>
      </c>
      <c r="N13" s="46"/>
    </row>
    <row r="14" s="2" customFormat="1" ht="70" customHeight="1" spans="1:14">
      <c r="A14" s="30" t="s">
        <v>62</v>
      </c>
      <c r="B14" s="31" t="s">
        <v>107</v>
      </c>
      <c r="C14" s="26" t="s">
        <v>25</v>
      </c>
      <c r="D14" s="19">
        <v>120</v>
      </c>
      <c r="E14" s="19">
        <v>240</v>
      </c>
      <c r="F14" s="19">
        <f t="shared" si="0"/>
        <v>28800</v>
      </c>
      <c r="G14" s="32"/>
      <c r="H14" s="25">
        <f t="shared" si="1"/>
        <v>0</v>
      </c>
      <c r="I14" s="32" t="s">
        <v>64</v>
      </c>
      <c r="J14" s="45"/>
      <c r="K14" s="45"/>
      <c r="L14" s="45"/>
      <c r="M14" s="45"/>
      <c r="N14" s="46"/>
    </row>
    <row r="15" s="3" customFormat="1" ht="47" customHeight="1" spans="1:14">
      <c r="A15" s="30" t="s">
        <v>108</v>
      </c>
      <c r="B15" s="33" t="s">
        <v>109</v>
      </c>
      <c r="C15" s="27" t="s">
        <v>49</v>
      </c>
      <c r="D15" s="19">
        <f>1776+2844</f>
        <v>4620</v>
      </c>
      <c r="E15" s="19">
        <v>0.7</v>
      </c>
      <c r="F15" s="19">
        <f t="shared" si="0"/>
        <v>3234</v>
      </c>
      <c r="G15" s="34"/>
      <c r="H15" s="25">
        <f t="shared" si="1"/>
        <v>0</v>
      </c>
      <c r="I15" s="47" t="s">
        <v>110</v>
      </c>
      <c r="J15" s="7"/>
      <c r="K15" s="7"/>
      <c r="L15" s="7"/>
      <c r="M15" s="7"/>
      <c r="N15" s="7"/>
    </row>
    <row r="16" s="2" customFormat="1" ht="76" customHeight="1" spans="1:14">
      <c r="A16" s="30" t="s">
        <v>111</v>
      </c>
      <c r="B16" s="31" t="s">
        <v>112</v>
      </c>
      <c r="C16" s="23" t="s">
        <v>53</v>
      </c>
      <c r="D16" s="19">
        <v>1378.28</v>
      </c>
      <c r="E16" s="19">
        <v>45</v>
      </c>
      <c r="F16" s="19">
        <f t="shared" si="0"/>
        <v>62022.6</v>
      </c>
      <c r="G16" s="26"/>
      <c r="H16" s="25">
        <f t="shared" si="1"/>
        <v>0</v>
      </c>
      <c r="I16" s="26" t="s">
        <v>54</v>
      </c>
      <c r="J16" s="45">
        <v>5315</v>
      </c>
      <c r="K16" s="45">
        <f>25*25*0.00617</f>
        <v>3.85625</v>
      </c>
      <c r="L16" s="45">
        <f>J16/K16</f>
        <v>1378.28200972447</v>
      </c>
      <c r="M16" s="45">
        <f>L16/3698</f>
        <v>0.372710116204563</v>
      </c>
      <c r="N16" s="46"/>
    </row>
    <row r="17" s="2" customFormat="1" ht="76" customHeight="1" spans="1:14">
      <c r="A17" s="30" t="s">
        <v>55</v>
      </c>
      <c r="B17" s="31" t="s">
        <v>72</v>
      </c>
      <c r="C17" s="26" t="s">
        <v>25</v>
      </c>
      <c r="D17" s="19">
        <v>17.4</v>
      </c>
      <c r="E17" s="19">
        <v>250</v>
      </c>
      <c r="F17" s="19">
        <f t="shared" si="0"/>
        <v>4350</v>
      </c>
      <c r="G17" s="27"/>
      <c r="H17" s="25">
        <f t="shared" si="1"/>
        <v>0</v>
      </c>
      <c r="I17" s="27" t="s">
        <v>73</v>
      </c>
      <c r="J17" s="45"/>
      <c r="K17" s="45"/>
      <c r="L17" s="45"/>
      <c r="M17" s="45"/>
      <c r="N17" s="46"/>
    </row>
    <row r="18" s="2" customFormat="1" ht="76" customHeight="1" spans="1:14">
      <c r="A18" s="30" t="s">
        <v>113</v>
      </c>
      <c r="B18" s="31" t="s">
        <v>56</v>
      </c>
      <c r="C18" s="23" t="s">
        <v>53</v>
      </c>
      <c r="D18" s="19">
        <v>109</v>
      </c>
      <c r="E18" s="19">
        <v>35</v>
      </c>
      <c r="F18" s="19">
        <f t="shared" si="0"/>
        <v>3815</v>
      </c>
      <c r="G18" s="26"/>
      <c r="H18" s="25">
        <f t="shared" si="1"/>
        <v>0</v>
      </c>
      <c r="I18" s="26" t="s">
        <v>57</v>
      </c>
      <c r="J18" s="45"/>
      <c r="K18" s="45"/>
      <c r="L18" s="45"/>
      <c r="M18" s="45"/>
      <c r="N18" s="46"/>
    </row>
    <row r="19" s="3" customFormat="1" ht="52" customHeight="1" spans="1:14">
      <c r="A19" s="33" t="s">
        <v>65</v>
      </c>
      <c r="B19" s="33" t="s">
        <v>114</v>
      </c>
      <c r="C19" s="27" t="s">
        <v>53</v>
      </c>
      <c r="D19" s="19">
        <f>380*1.2</f>
        <v>456</v>
      </c>
      <c r="E19" s="19">
        <v>384</v>
      </c>
      <c r="F19" s="19">
        <f t="shared" si="0"/>
        <v>175104</v>
      </c>
      <c r="G19" s="34"/>
      <c r="H19" s="25">
        <f t="shared" si="1"/>
        <v>0</v>
      </c>
      <c r="I19" s="47" t="s">
        <v>94</v>
      </c>
      <c r="J19" s="7"/>
      <c r="K19" s="7"/>
      <c r="L19" s="7"/>
      <c r="M19" s="7"/>
      <c r="N19" s="7"/>
    </row>
    <row r="20" s="4" customFormat="1" ht="69" customHeight="1" spans="1:21">
      <c r="A20" s="33" t="s">
        <v>115</v>
      </c>
      <c r="B20" s="33" t="s">
        <v>116</v>
      </c>
      <c r="C20" s="26" t="s">
        <v>25</v>
      </c>
      <c r="D20" s="19">
        <f>D19*0.196</f>
        <v>89.376</v>
      </c>
      <c r="E20" s="19">
        <v>150</v>
      </c>
      <c r="F20" s="19">
        <f t="shared" si="0"/>
        <v>13406.4</v>
      </c>
      <c r="G20" s="26"/>
      <c r="H20" s="25">
        <f>G20*D20</f>
        <v>0</v>
      </c>
      <c r="I20" s="26" t="s">
        <v>104</v>
      </c>
      <c r="J20" s="7"/>
      <c r="K20" s="7"/>
      <c r="L20" s="7"/>
      <c r="M20" s="7"/>
      <c r="N20" s="48"/>
      <c r="T20" s="50"/>
      <c r="U20" s="50"/>
    </row>
    <row r="21" ht="34" customHeight="1" spans="1:21">
      <c r="A21" s="35" t="s">
        <v>95</v>
      </c>
      <c r="B21" s="36"/>
      <c r="C21" s="36"/>
      <c r="D21" s="37"/>
      <c r="E21" s="38">
        <f>SUM(F4:F20)</f>
        <v>807324.6</v>
      </c>
      <c r="F21" s="39"/>
      <c r="G21" s="40"/>
      <c r="H21" s="25">
        <f>SUM(H4:H20)</f>
        <v>0</v>
      </c>
      <c r="I21" s="49"/>
      <c r="T21" s="43"/>
      <c r="U21" s="43"/>
    </row>
    <row r="22" spans="20:21">
      <c r="T22" s="43"/>
      <c r="U22" s="43"/>
    </row>
    <row r="23" hidden="1" spans="6:21">
      <c r="F23" s="5">
        <v>1397874</v>
      </c>
      <c r="T23" s="43"/>
      <c r="U23" s="43"/>
    </row>
    <row r="24" spans="20:21">
      <c r="T24" s="43"/>
      <c r="U24" s="43"/>
    </row>
    <row r="25" spans="20:21">
      <c r="T25" s="43"/>
      <c r="U25" s="43"/>
    </row>
  </sheetData>
  <sheetProtection algorithmName="SHA-512" hashValue="50CUUSB+baMwPPTXaBdRGM4Ei3cGABNeEIHWP2b4HtQIWqs4zyEwlOAbCLY86AfGd2EFzl9zX7RuepTzaECBaQ==" saltValue="/fZSqi4p9N6iVImsm0/VKw==" spinCount="100000" sheet="1" objects="1"/>
  <mergeCells count="3">
    <mergeCell ref="A1:I1"/>
    <mergeCell ref="A21:D21"/>
    <mergeCell ref="E21:F21"/>
  </mergeCells>
  <conditionalFormatting sqref="C11">
    <cfRule type="cellIs" dxfId="0" priority="2" operator="equal">
      <formula>0</formula>
    </cfRule>
  </conditionalFormatting>
  <conditionalFormatting sqref="I17">
    <cfRule type="cellIs" dxfId="0" priority="1" operator="equal">
      <formula>0</formula>
    </cfRule>
  </conditionalFormatting>
  <conditionalFormatting sqref="I20">
    <cfRule type="cellIs" dxfId="0" priority="4" operator="equal">
      <formula>0</formula>
    </cfRule>
  </conditionalFormatting>
  <conditionalFormatting sqref="A4:B6">
    <cfRule type="cellIs" dxfId="0" priority="7" operator="equal">
      <formula>0</formula>
    </cfRule>
  </conditionalFormatting>
  <conditionalFormatting sqref="A7:B10 A12:B14 A16:B18 A15 I7:I10 I12:I13 I16 I18">
    <cfRule type="cellIs" dxfId="0" priority="6" operator="equal">
      <formula>0</formula>
    </cfRule>
  </conditionalFormatting>
  <conditionalFormatting sqref="C7:C10 C12:C20">
    <cfRule type="cellIs" dxfId="0" priority="5" operator="equal">
      <formula>0</formula>
    </cfRule>
  </conditionalFormatting>
  <conditionalFormatting sqref="A11:B11 I11">
    <cfRule type="cellIs" dxfId="0" priority="3" operator="equal">
      <formula>0</formula>
    </cfRule>
  </conditionalFormatting>
  <pageMargins left="0.75" right="0.354166666666667" top="1" bottom="1" header="0.5" footer="0.5"/>
  <pageSetup paperSize="9" scale="9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大方G321线K1626+300～K1660+120段</vt:lpstr>
      <vt:lpstr>黔西G212线K1731+250～K1751+110段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执子听花语</cp:lastModifiedBy>
  <dcterms:created xsi:type="dcterms:W3CDTF">2025-04-02T06:21:00Z</dcterms:created>
  <dcterms:modified xsi:type="dcterms:W3CDTF">2025-06-10T01:10:29Z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24BFE7D0A43D427C80C4C5DD1D4FD7B0_13</vt:lpwstr>
  </property>
  <property fmtid="{D5CDD505-2E9C-101B-9397-08002B2CF9AE}" pid="3" name="KSOProductBuildVer">
    <vt:lpwstr>2052-12.1.0.21541</vt:lpwstr>
  </property>
  <property fmtid="{D5CDD505-2E9C-101B-9397-08002B2CF9AE}" pid="4" name="KSOReadingLayout">
    <vt:bool>true</vt:bool>
  </property>
</Properties>
</file>